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4hnorgenonprofit-my.sharepoint.com/personal/hilde_ovesen_4h_no/Documents/Dokumenter/"/>
    </mc:Choice>
  </mc:AlternateContent>
  <xr:revisionPtr revIDLastSave="0" documentId="8_{58CC8243-2019-41BF-876A-84AA29228B14}" xr6:coauthVersionLast="47" xr6:coauthVersionMax="47" xr10:uidLastSave="{00000000-0000-0000-0000-000000000000}"/>
  <bookViews>
    <workbookView xWindow="-110" yWindow="-110" windowWidth="19420" windowHeight="10300" xr2:uid="{28C0B985-4AB8-42CD-BC1E-B7F067E7C6A8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0" i="1" l="1"/>
  <c r="G110" i="1"/>
  <c r="F110" i="1"/>
  <c r="K99" i="1"/>
  <c r="K101" i="1" s="1"/>
  <c r="J99" i="1"/>
  <c r="I99" i="1"/>
  <c r="I101" i="1" s="1"/>
  <c r="F99" i="1"/>
  <c r="G96" i="1"/>
  <c r="G95" i="1"/>
  <c r="G94" i="1"/>
  <c r="G93" i="1"/>
  <c r="G92" i="1"/>
  <c r="G89" i="1"/>
  <c r="G88" i="1"/>
  <c r="G86" i="1"/>
  <c r="G85" i="1"/>
  <c r="G84" i="1"/>
  <c r="G83" i="1"/>
  <c r="G82" i="1"/>
  <c r="G81" i="1"/>
  <c r="G80" i="1"/>
  <c r="G79" i="1"/>
  <c r="G75" i="1"/>
  <c r="G70" i="1"/>
  <c r="G68" i="1"/>
  <c r="G67" i="1"/>
  <c r="G65" i="1"/>
  <c r="G64" i="1"/>
  <c r="H63" i="1"/>
  <c r="H99" i="1" s="1"/>
  <c r="H101" i="1" s="1"/>
  <c r="H103" i="1" s="1"/>
  <c r="H112" i="1" s="1"/>
  <c r="G62" i="1"/>
  <c r="L61" i="1"/>
  <c r="G61" i="1"/>
  <c r="G99" i="1" s="1"/>
  <c r="G101" i="1" s="1"/>
  <c r="L58" i="1"/>
  <c r="L99" i="1" s="1"/>
  <c r="L101" i="1" s="1"/>
  <c r="G55" i="1"/>
  <c r="L51" i="1"/>
  <c r="K51" i="1"/>
  <c r="I51" i="1"/>
  <c r="H51" i="1"/>
  <c r="F51" i="1"/>
  <c r="F101" i="1" s="1"/>
  <c r="F103" i="1" s="1"/>
  <c r="J40" i="1"/>
  <c r="J51" i="1" s="1"/>
  <c r="G40" i="1"/>
  <c r="G51" i="1" s="1"/>
  <c r="H37" i="1"/>
  <c r="F37" i="1"/>
  <c r="G36" i="1"/>
  <c r="J35" i="1"/>
  <c r="J37" i="1" s="1"/>
  <c r="G35" i="1"/>
  <c r="G37" i="1" s="1"/>
  <c r="I29" i="1"/>
  <c r="I31" i="1" s="1"/>
  <c r="I103" i="1" s="1"/>
  <c r="I112" i="1" s="1"/>
  <c r="G29" i="1"/>
  <c r="J24" i="1"/>
  <c r="L19" i="1"/>
  <c r="L17" i="1"/>
  <c r="L14" i="1"/>
  <c r="L29" i="1" s="1"/>
  <c r="L31" i="1" s="1"/>
  <c r="L103" i="1" s="1"/>
  <c r="H14" i="1"/>
  <c r="H13" i="1"/>
  <c r="H29" i="1" s="1"/>
  <c r="L9" i="1"/>
  <c r="K9" i="1"/>
  <c r="K29" i="1" s="1"/>
  <c r="K31" i="1" s="1"/>
  <c r="K103" i="1" s="1"/>
  <c r="J9" i="1"/>
  <c r="J29" i="1" s="1"/>
  <c r="J31" i="1" s="1"/>
  <c r="I9" i="1"/>
  <c r="H9" i="1"/>
  <c r="G9" i="1"/>
  <c r="G31" i="1" s="1"/>
  <c r="F9" i="1"/>
  <c r="F29" i="1" s="1"/>
  <c r="F31" i="1" s="1"/>
  <c r="F112" i="1" l="1"/>
  <c r="G112" i="1"/>
  <c r="J101" i="1"/>
  <c r="J103" i="1" s="1"/>
  <c r="G10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Marita Larsos</author>
  </authors>
  <commentList>
    <comment ref="L14" authorId="0" shapeId="0" xr:uid="{ABC218E2-8BCD-4E9B-AEF2-E8166A907B86}">
      <text>
        <r>
          <rPr>
            <b/>
            <sz val="9"/>
            <color indexed="81"/>
            <rFont val="Tahoma"/>
            <charset val="1"/>
          </rPr>
          <t>Marita Larsos:</t>
        </r>
        <r>
          <rPr>
            <sz val="9"/>
            <color indexed="81"/>
            <rFont val="Tahoma"/>
            <charset val="1"/>
          </rPr>
          <t xml:space="preserve">
Trobur 50000
Friluftslivets uke 3000
Gøy på landet 40000
</t>
        </r>
      </text>
    </comment>
  </commentList>
</comments>
</file>

<file path=xl/sharedStrings.xml><?xml version="1.0" encoding="utf-8"?>
<sst xmlns="http://schemas.openxmlformats.org/spreadsheetml/2006/main" count="131" uniqueCount="123">
  <si>
    <t>Forslag til budsjett 2024</t>
  </si>
  <si>
    <t>uferdig</t>
  </si>
  <si>
    <t>Forslag til årsmøte</t>
  </si>
  <si>
    <t xml:space="preserve">Forslag </t>
  </si>
  <si>
    <t>Kontonr.</t>
  </si>
  <si>
    <t>Tekst</t>
  </si>
  <si>
    <t>Regnskap 2017</t>
  </si>
  <si>
    <t>Regnskap</t>
  </si>
  <si>
    <t xml:space="preserve">Regnskap </t>
  </si>
  <si>
    <t>Budsjett</t>
  </si>
  <si>
    <t>budsjett</t>
  </si>
  <si>
    <t>DRIFTSINNTEKTER</t>
  </si>
  <si>
    <t>Salgsinntekter</t>
  </si>
  <si>
    <t>Varesalg</t>
  </si>
  <si>
    <t>Storkurs, styrevervkurs, gøy på landet</t>
  </si>
  <si>
    <t>Kontingenter medl./klubber</t>
  </si>
  <si>
    <t>220 medlemmer.</t>
  </si>
  <si>
    <t>Sum salgsinntekter</t>
  </si>
  <si>
    <t>Andre inntekter</t>
  </si>
  <si>
    <t>Loddsalg</t>
  </si>
  <si>
    <t xml:space="preserve">Prosjektmidler </t>
  </si>
  <si>
    <t xml:space="preserve">Sommerklubb (265000 kr). </t>
  </si>
  <si>
    <t>Andre offentlige tilskudd</t>
  </si>
  <si>
    <t>Tilbakebetaling av offentlige tilskudd</t>
  </si>
  <si>
    <t>Bidrag fra landbr.øk.org</t>
  </si>
  <si>
    <t>Studieforb. natur og miljø</t>
  </si>
  <si>
    <t>Støtte per deltaker 100 kr</t>
  </si>
  <si>
    <t>Friluftslivets fellesorg.</t>
  </si>
  <si>
    <t>Bidrag andre inst./org.</t>
  </si>
  <si>
    <t>Sponsede midler til arrangement (F.eks mat)</t>
  </si>
  <si>
    <t>Frifondmidler</t>
  </si>
  <si>
    <t xml:space="preserve">Annonser </t>
  </si>
  <si>
    <t>Deltakeravgifter</t>
  </si>
  <si>
    <t>Overskudd v/leir og kurs</t>
  </si>
  <si>
    <t xml:space="preserve">Husleie inntekt FNF </t>
  </si>
  <si>
    <t>Framleie kontor 3832 kr per måned. Sagt opp, leies ut oktober 2023</t>
  </si>
  <si>
    <t>Andre inntekter ( grasrotandelen</t>
  </si>
  <si>
    <t>Purregebyr</t>
  </si>
  <si>
    <t>Momskompensasjon</t>
  </si>
  <si>
    <t>Reiserefusjon/-utjamning</t>
  </si>
  <si>
    <t>Sum andre inntekter</t>
  </si>
  <si>
    <t>Sum driftsinntekter</t>
  </si>
  <si>
    <t>DRIFTSKOSTNADER</t>
  </si>
  <si>
    <t>Varekostnader</t>
  </si>
  <si>
    <t>4H-artikler/varekjøp</t>
  </si>
  <si>
    <t>Beholdn.endring varelager</t>
  </si>
  <si>
    <t>Sum varekostnader</t>
  </si>
  <si>
    <t>Personalkostnader</t>
  </si>
  <si>
    <t>Lønn og personalkostnader utbetalt av andre</t>
  </si>
  <si>
    <t xml:space="preserve">Lønn ikke innberetningspliktig </t>
  </si>
  <si>
    <t>Sommerklubblønn</t>
  </si>
  <si>
    <t>Styrehonorar</t>
  </si>
  <si>
    <t>Arbeidsgiveravgift betalt av andre</t>
  </si>
  <si>
    <t>Telefongodtgjørelse</t>
  </si>
  <si>
    <t>Innleid hjelp</t>
  </si>
  <si>
    <t>Sommerklubber drift, husleie (gårder)</t>
  </si>
  <si>
    <t>Refusjoner v/sykelønn</t>
  </si>
  <si>
    <t xml:space="preserve">Gaver </t>
  </si>
  <si>
    <t>Personalforsikringer</t>
  </si>
  <si>
    <t xml:space="preserve">Annen personalkostnad </t>
  </si>
  <si>
    <t>Velferdskonto</t>
  </si>
  <si>
    <t>Sum personalkostnader</t>
  </si>
  <si>
    <t>Avskrivninger</t>
  </si>
  <si>
    <t>Avskrivninger driftsmidler</t>
  </si>
  <si>
    <t>Sum avskrivninger</t>
  </si>
  <si>
    <t>Andre driftskostnader</t>
  </si>
  <si>
    <t>Husleie/leie av lokaler</t>
  </si>
  <si>
    <t>Husleie Holt</t>
  </si>
  <si>
    <t>Strøm</t>
  </si>
  <si>
    <t>Renhold</t>
  </si>
  <si>
    <t>Annen kostnad lokaler</t>
  </si>
  <si>
    <t>Leie skoler til div kurs, leie lokaler div leir og kurs, leie lager</t>
  </si>
  <si>
    <t>leie datasystemer</t>
  </si>
  <si>
    <t xml:space="preserve">Kontorutstyr/inventar </t>
  </si>
  <si>
    <t>Samiske bordflagg, kontorutstyr</t>
  </si>
  <si>
    <t>Edb - innkjøp</t>
  </si>
  <si>
    <t>Edb - drift/vedlikehold</t>
  </si>
  <si>
    <t>IKT, sikkerhet, suppert (ny pc i 2022).</t>
  </si>
  <si>
    <t>Arbeidsklær og verneutstyr</t>
  </si>
  <si>
    <t>Profiltøy</t>
  </si>
  <si>
    <t>Regnskap/revisjon</t>
  </si>
  <si>
    <t>Revisjon</t>
  </si>
  <si>
    <t>Konsulent/kjøp av tjenester</t>
  </si>
  <si>
    <t>Kontorrekvisita</t>
  </si>
  <si>
    <t>Trykkekostnader</t>
  </si>
  <si>
    <t>Layout/illustrasjon/foto</t>
  </si>
  <si>
    <t>Pakking/adressering</t>
  </si>
  <si>
    <t>Abonnementer/kontingenter</t>
  </si>
  <si>
    <t>Møter, kurs , opplæring  ( ansatte?)</t>
  </si>
  <si>
    <t>Instruktørkurs, landsstyremøter, fylkesstyreopplæring</t>
  </si>
  <si>
    <t>Telefon</t>
  </si>
  <si>
    <t>Internett</t>
  </si>
  <si>
    <t>1000 kr per måned Holt?</t>
  </si>
  <si>
    <t>Porto</t>
  </si>
  <si>
    <t>Reiser ansatte</t>
  </si>
  <si>
    <t>Reiseutgifter, ikke oppg.pliktig</t>
  </si>
  <si>
    <t>Overnatting</t>
  </si>
  <si>
    <t>Diettkostnad oppg pliktig</t>
  </si>
  <si>
    <t>Reiseutleggdekket av 4H N</t>
  </si>
  <si>
    <t>Annonsering</t>
  </si>
  <si>
    <t>Kopper til alle medlemmer</t>
  </si>
  <si>
    <t>Matutgifter</t>
  </si>
  <si>
    <t>Øreavrunding</t>
  </si>
  <si>
    <t>Kursmateriell</t>
  </si>
  <si>
    <t>Premier og gaver</t>
  </si>
  <si>
    <t>Gøy på landet-tilskudd videreført</t>
  </si>
  <si>
    <t>Pr artikler og info. materiell</t>
  </si>
  <si>
    <t>Avgitte bidrag og tilskudd</t>
  </si>
  <si>
    <t>Forsikringer</t>
  </si>
  <si>
    <t xml:space="preserve">Servicekostnad </t>
  </si>
  <si>
    <t>Gebyrer/provisjoner</t>
  </si>
  <si>
    <t>Andre kostnader</t>
  </si>
  <si>
    <t>Tap på fordringer</t>
  </si>
  <si>
    <t>Sum andre driftskostnader</t>
  </si>
  <si>
    <t>Sum driftskostnader</t>
  </si>
  <si>
    <t>DRIFTSRESULTAT</t>
  </si>
  <si>
    <t>Finansinntekter og finanskostnader</t>
  </si>
  <si>
    <t>Renteinntekter</t>
  </si>
  <si>
    <t>Annen finansinntekt</t>
  </si>
  <si>
    <t>Rentekostnader</t>
  </si>
  <si>
    <t>Annen finanskostnad</t>
  </si>
  <si>
    <t>Sum netto finansposter</t>
  </si>
  <si>
    <t>ÅRSRESULTAT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</si>
</sst>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9D08E"/>
        <bgColor rgb="FF000000"/>
      </patternFill>
    </fill>
    <fill>
      <patternFill patternType="solid">
        <fgColor rgb="FFC9C9C9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9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1" applyNumberFormat="1" applyFont="1" applyFill="1" applyBorder="1"/>
    <xf numFmtId="164" fontId="4" fillId="2" borderId="0" xfId="1" applyNumberFormat="1" applyFont="1" applyFill="1" applyBorder="1"/>
    <xf numFmtId="164" fontId="5" fillId="3" borderId="1" xfId="1" applyNumberFormat="1" applyFont="1" applyFill="1" applyBorder="1"/>
    <xf numFmtId="164" fontId="5" fillId="3" borderId="2" xfId="1" applyNumberFormat="1" applyFont="1" applyFill="1" applyBorder="1"/>
    <xf numFmtId="164" fontId="5" fillId="4" borderId="3" xfId="1" applyNumberFormat="1" applyFont="1" applyFill="1" applyBorder="1"/>
    <xf numFmtId="0" fontId="2" fillId="5" borderId="4" xfId="0" applyFont="1" applyFill="1" applyBorder="1"/>
    <xf numFmtId="0" fontId="2" fillId="6" borderId="1" xfId="0" applyFont="1" applyFill="1" applyBorder="1"/>
    <xf numFmtId="0" fontId="2" fillId="7" borderId="1" xfId="0" applyFont="1" applyFill="1" applyBorder="1"/>
    <xf numFmtId="0" fontId="5" fillId="8" borderId="0" xfId="0" applyFont="1" applyFill="1"/>
    <xf numFmtId="164" fontId="5" fillId="9" borderId="0" xfId="1" applyNumberFormat="1" applyFont="1" applyFill="1" applyBorder="1" applyAlignment="1">
      <alignment horizontal="center"/>
    </xf>
    <xf numFmtId="164" fontId="5" fillId="3" borderId="5" xfId="1" applyNumberFormat="1" applyFont="1" applyFill="1" applyBorder="1" applyAlignment="1">
      <alignment horizontal="center"/>
    </xf>
    <xf numFmtId="164" fontId="5" fillId="3" borderId="0" xfId="1" applyNumberFormat="1" applyFont="1" applyFill="1" applyBorder="1" applyAlignment="1">
      <alignment horizontal="center"/>
    </xf>
    <xf numFmtId="164" fontId="5" fillId="4" borderId="6" xfId="1" applyNumberFormat="1" applyFont="1" applyFill="1" applyBorder="1" applyAlignment="1">
      <alignment horizontal="center"/>
    </xf>
    <xf numFmtId="0" fontId="2" fillId="5" borderId="7" xfId="0" applyFont="1" applyFill="1" applyBorder="1"/>
    <xf numFmtId="0" fontId="2" fillId="6" borderId="5" xfId="0" applyFont="1" applyFill="1" applyBorder="1"/>
    <xf numFmtId="0" fontId="2" fillId="7" borderId="5" xfId="0" applyFont="1" applyFill="1" applyBorder="1"/>
    <xf numFmtId="0" fontId="2" fillId="0" borderId="0" xfId="0" applyFont="1"/>
    <xf numFmtId="0" fontId="4" fillId="0" borderId="8" xfId="0" applyFont="1" applyBorder="1"/>
    <xf numFmtId="164" fontId="5" fillId="0" borderId="8" xfId="1" applyNumberFormat="1" applyFont="1" applyFill="1" applyBorder="1"/>
    <xf numFmtId="164" fontId="5" fillId="3" borderId="9" xfId="1" applyNumberFormat="1" applyFont="1" applyFill="1" applyBorder="1"/>
    <xf numFmtId="164" fontId="5" fillId="3" borderId="8" xfId="1" applyNumberFormat="1" applyFont="1" applyFill="1" applyBorder="1"/>
    <xf numFmtId="164" fontId="5" fillId="4" borderId="10" xfId="1" applyNumberFormat="1" applyFont="1" applyFill="1" applyBorder="1"/>
    <xf numFmtId="0" fontId="2" fillId="5" borderId="11" xfId="0" applyFont="1" applyFill="1" applyBorder="1"/>
    <xf numFmtId="0" fontId="2" fillId="6" borderId="9" xfId="0" applyFont="1" applyFill="1" applyBorder="1"/>
    <xf numFmtId="0" fontId="2" fillId="7" borderId="9" xfId="0" applyFont="1" applyFill="1" applyBorder="1"/>
    <xf numFmtId="0" fontId="6" fillId="0" borderId="0" xfId="0" applyFont="1"/>
    <xf numFmtId="164" fontId="6" fillId="0" borderId="0" xfId="1" applyNumberFormat="1" applyFont="1" applyFill="1" applyBorder="1"/>
    <xf numFmtId="164" fontId="6" fillId="2" borderId="5" xfId="1" applyNumberFormat="1" applyFont="1" applyFill="1" applyBorder="1"/>
    <xf numFmtId="164" fontId="6" fillId="2" borderId="0" xfId="1" applyNumberFormat="1" applyFont="1" applyFill="1" applyBorder="1"/>
    <xf numFmtId="164" fontId="6" fillId="10" borderId="6" xfId="1" applyNumberFormat="1" applyFont="1" applyFill="1" applyBorder="1"/>
    <xf numFmtId="164" fontId="0" fillId="5" borderId="7" xfId="1" applyNumberFormat="1" applyFont="1" applyFill="1" applyBorder="1"/>
    <xf numFmtId="164" fontId="0" fillId="6" borderId="5" xfId="1" applyNumberFormat="1" applyFont="1" applyFill="1" applyBorder="1"/>
    <xf numFmtId="164" fontId="0" fillId="7" borderId="5" xfId="1" applyNumberFormat="1" applyFont="1" applyFill="1" applyBorder="1"/>
    <xf numFmtId="0" fontId="7" fillId="0" borderId="0" xfId="0" applyFont="1"/>
    <xf numFmtId="164" fontId="7" fillId="0" borderId="0" xfId="1" applyNumberFormat="1" applyFont="1" applyFill="1" applyBorder="1"/>
    <xf numFmtId="164" fontId="7" fillId="2" borderId="5" xfId="1" applyNumberFormat="1" applyFont="1" applyFill="1" applyBorder="1"/>
    <xf numFmtId="164" fontId="7" fillId="2" borderId="0" xfId="1" applyNumberFormat="1" applyFont="1" applyFill="1" applyBorder="1"/>
    <xf numFmtId="164" fontId="7" fillId="10" borderId="6" xfId="1" applyNumberFormat="1" applyFont="1" applyFill="1" applyBorder="1"/>
    <xf numFmtId="0" fontId="4" fillId="11" borderId="0" xfId="0" applyFont="1" applyFill="1"/>
    <xf numFmtId="164" fontId="4" fillId="12" borderId="0" xfId="1" applyNumberFormat="1" applyFont="1" applyFill="1" applyBorder="1"/>
    <xf numFmtId="164" fontId="4" fillId="3" borderId="5" xfId="1" applyNumberFormat="1" applyFont="1" applyFill="1" applyBorder="1"/>
    <xf numFmtId="164" fontId="4" fillId="3" borderId="0" xfId="1" applyNumberFormat="1" applyFont="1" applyFill="1" applyBorder="1"/>
    <xf numFmtId="164" fontId="4" fillId="4" borderId="6" xfId="1" applyNumberFormat="1" applyFont="1" applyFill="1" applyBorder="1"/>
    <xf numFmtId="0" fontId="4" fillId="0" borderId="0" xfId="0" applyFont="1" applyAlignment="1">
      <alignment horizontal="center"/>
    </xf>
    <xf numFmtId="0" fontId="7" fillId="0" borderId="12" xfId="0" applyFont="1" applyBorder="1"/>
    <xf numFmtId="164" fontId="7" fillId="0" borderId="12" xfId="1" applyNumberFormat="1" applyFont="1" applyFill="1" applyBorder="1"/>
    <xf numFmtId="164" fontId="7" fillId="2" borderId="13" xfId="1" applyNumberFormat="1" applyFont="1" applyFill="1" applyBorder="1"/>
    <xf numFmtId="164" fontId="7" fillId="2" borderId="12" xfId="1" applyNumberFormat="1" applyFont="1" applyFill="1" applyBorder="1"/>
    <xf numFmtId="164" fontId="7" fillId="10" borderId="14" xfId="1" applyNumberFormat="1" applyFont="1" applyFill="1" applyBorder="1"/>
    <xf numFmtId="164" fontId="2" fillId="5" borderId="15" xfId="1" applyNumberFormat="1" applyFont="1" applyFill="1" applyBorder="1"/>
    <xf numFmtId="164" fontId="2" fillId="6" borderId="13" xfId="1" applyNumberFormat="1" applyFont="1" applyFill="1" applyBorder="1"/>
    <xf numFmtId="164" fontId="2" fillId="7" borderId="13" xfId="1" applyNumberFormat="1" applyFont="1" applyFill="1" applyBorder="1"/>
    <xf numFmtId="164" fontId="4" fillId="2" borderId="5" xfId="1" applyNumberFormat="1" applyFont="1" applyFill="1" applyBorder="1"/>
    <xf numFmtId="164" fontId="4" fillId="10" borderId="6" xfId="1" applyNumberFormat="1" applyFont="1" applyFill="1" applyBorder="1"/>
    <xf numFmtId="164" fontId="8" fillId="10" borderId="6" xfId="1" applyNumberFormat="1" applyFont="1" applyFill="1" applyBorder="1"/>
    <xf numFmtId="164" fontId="9" fillId="0" borderId="5" xfId="1" applyNumberFormat="1" applyFont="1" applyFill="1" applyBorder="1"/>
    <xf numFmtId="164" fontId="4" fillId="0" borderId="5" xfId="1" applyNumberFormat="1" applyFont="1" applyFill="1" applyBorder="1"/>
    <xf numFmtId="0" fontId="4" fillId="13" borderId="0" xfId="0" applyFont="1" applyFill="1"/>
    <xf numFmtId="164" fontId="4" fillId="14" borderId="0" xfId="1" applyNumberFormat="1" applyFont="1" applyFill="1" applyBorder="1"/>
    <xf numFmtId="164" fontId="8" fillId="0" borderId="5" xfId="1" applyNumberFormat="1" applyFont="1" applyFill="1" applyBorder="1"/>
    <xf numFmtId="164" fontId="0" fillId="15" borderId="7" xfId="1" applyNumberFormat="1" applyFont="1" applyFill="1" applyBorder="1"/>
    <xf numFmtId="4" fontId="7" fillId="0" borderId="12" xfId="0" applyNumberFormat="1" applyFont="1" applyBorder="1"/>
    <xf numFmtId="164" fontId="0" fillId="5" borderId="15" xfId="1" applyNumberFormat="1" applyFont="1" applyFill="1" applyBorder="1"/>
    <xf numFmtId="164" fontId="0" fillId="6" borderId="16" xfId="1" applyNumberFormat="1" applyFont="1" applyFill="1" applyBorder="1"/>
    <xf numFmtId="164" fontId="0" fillId="7" borderId="16" xfId="1" applyNumberFormat="1" applyFont="1" applyFill="1" applyBorder="1"/>
    <xf numFmtId="4" fontId="5" fillId="11" borderId="17" xfId="0" applyNumberFormat="1" applyFont="1" applyFill="1" applyBorder="1"/>
    <xf numFmtId="164" fontId="5" fillId="12" borderId="17" xfId="1" applyNumberFormat="1" applyFont="1" applyFill="1" applyBorder="1"/>
    <xf numFmtId="164" fontId="5" fillId="3" borderId="18" xfId="1" applyNumberFormat="1" applyFont="1" applyFill="1" applyBorder="1"/>
    <xf numFmtId="164" fontId="5" fillId="3" borderId="17" xfId="1" applyNumberFormat="1" applyFont="1" applyFill="1" applyBorder="1"/>
    <xf numFmtId="164" fontId="5" fillId="4" borderId="19" xfId="1" applyNumberFormat="1" applyFont="1" applyFill="1" applyBorder="1"/>
    <xf numFmtId="164" fontId="2" fillId="6" borderId="15" xfId="1" applyNumberFormat="1" applyFont="1" applyFill="1" applyBorder="1"/>
    <xf numFmtId="164" fontId="2" fillId="7" borderId="15" xfId="1" applyNumberFormat="1" applyFont="1" applyFill="1" applyBorder="1"/>
    <xf numFmtId="43" fontId="6" fillId="10" borderId="6" xfId="1" applyFont="1" applyFill="1" applyBorder="1"/>
    <xf numFmtId="43" fontId="6" fillId="2" borderId="5" xfId="1" applyFont="1" applyFill="1" applyBorder="1"/>
    <xf numFmtId="43" fontId="7" fillId="10" borderId="6" xfId="1" applyFont="1" applyFill="1" applyBorder="1"/>
    <xf numFmtId="43" fontId="7" fillId="2" borderId="5" xfId="1" applyFont="1" applyFill="1" applyBorder="1"/>
    <xf numFmtId="43" fontId="4" fillId="4" borderId="6" xfId="1" applyFont="1" applyFill="1" applyBorder="1"/>
    <xf numFmtId="43" fontId="4" fillId="3" borderId="5" xfId="1" applyFont="1" applyFill="1" applyBorder="1"/>
    <xf numFmtId="43" fontId="7" fillId="10" borderId="14" xfId="1" applyFont="1" applyFill="1" applyBorder="1"/>
    <xf numFmtId="43" fontId="7" fillId="2" borderId="13" xfId="1" applyFont="1" applyFill="1" applyBorder="1"/>
    <xf numFmtId="164" fontId="0" fillId="6" borderId="18" xfId="1" applyNumberFormat="1" applyFont="1" applyFill="1" applyBorder="1"/>
    <xf numFmtId="164" fontId="0" fillId="7" borderId="18" xfId="1" applyNumberFormat="1" applyFont="1" applyFill="1" applyBorder="1"/>
    <xf numFmtId="43" fontId="4" fillId="10" borderId="6" xfId="1" applyFont="1" applyFill="1" applyBorder="1"/>
    <xf numFmtId="43" fontId="4" fillId="2" borderId="5" xfId="1" applyFont="1" applyFill="1" applyBorder="1"/>
    <xf numFmtId="43" fontId="8" fillId="4" borderId="6" xfId="1" applyFont="1" applyFill="1" applyBorder="1"/>
    <xf numFmtId="43" fontId="9" fillId="3" borderId="5" xfId="1" applyFont="1" applyFill="1" applyBorder="1"/>
    <xf numFmtId="43" fontId="8" fillId="3" borderId="5" xfId="1" applyFont="1" applyFill="1" applyBorder="1"/>
    <xf numFmtId="43" fontId="8" fillId="0" borderId="5" xfId="1" applyFont="1" applyFill="1" applyBorder="1"/>
    <xf numFmtId="0" fontId="0" fillId="10" borderId="0" xfId="0" applyFill="1"/>
    <xf numFmtId="0" fontId="0" fillId="2" borderId="5" xfId="0" applyFill="1" applyBorder="1"/>
    <xf numFmtId="43" fontId="4" fillId="3" borderId="0" xfId="1" applyFont="1" applyFill="1" applyBorder="1"/>
    <xf numFmtId="164" fontId="4" fillId="16" borderId="0" xfId="1" applyNumberFormat="1" applyFont="1" applyFill="1" applyBorder="1"/>
    <xf numFmtId="164" fontId="4" fillId="17" borderId="5" xfId="1" applyNumberFormat="1" applyFont="1" applyFill="1" applyBorder="1"/>
    <xf numFmtId="164" fontId="4" fillId="18" borderId="5" xfId="1" applyNumberFormat="1" applyFont="1" applyFill="1" applyBorder="1"/>
    <xf numFmtId="164" fontId="9" fillId="16" borderId="0" xfId="1" applyNumberFormat="1" applyFont="1" applyFill="1" applyBorder="1"/>
    <xf numFmtId="164" fontId="9" fillId="17" borderId="5" xfId="1" applyNumberFormat="1" applyFont="1" applyFill="1" applyBorder="1"/>
    <xf numFmtId="164" fontId="9" fillId="18" borderId="5" xfId="1" applyNumberFormat="1" applyFont="1" applyFill="1" applyBorder="1"/>
    <xf numFmtId="0" fontId="8" fillId="11" borderId="0" xfId="0" applyFont="1" applyFill="1"/>
    <xf numFmtId="43" fontId="7" fillId="2" borderId="12" xfId="1" applyFont="1" applyFill="1" applyBorder="1"/>
    <xf numFmtId="43" fontId="7" fillId="10" borderId="12" xfId="1" applyFont="1" applyFill="1" applyBorder="1"/>
    <xf numFmtId="164" fontId="2" fillId="5" borderId="7" xfId="1" applyNumberFormat="1" applyFont="1" applyFill="1" applyBorder="1"/>
    <xf numFmtId="164" fontId="2" fillId="6" borderId="5" xfId="1" applyNumberFormat="1" applyFont="1" applyFill="1" applyBorder="1"/>
    <xf numFmtId="164" fontId="2" fillId="7" borderId="5" xfId="1" applyNumberFormat="1" applyFont="1" applyFill="1" applyBorder="1"/>
    <xf numFmtId="0" fontId="5" fillId="11" borderId="17" xfId="0" applyFont="1" applyFill="1" applyBorder="1"/>
    <xf numFmtId="43" fontId="5" fillId="4" borderId="19" xfId="1" applyFont="1" applyFill="1" applyBorder="1"/>
    <xf numFmtId="43" fontId="5" fillId="3" borderId="18" xfId="1" applyFont="1" applyFill="1" applyBorder="1"/>
    <xf numFmtId="164" fontId="2" fillId="5" borderId="20" xfId="1" applyNumberFormat="1" applyFont="1" applyFill="1" applyBorder="1"/>
    <xf numFmtId="164" fontId="2" fillId="6" borderId="18" xfId="1" applyNumberFormat="1" applyFont="1" applyFill="1" applyBorder="1"/>
    <xf numFmtId="164" fontId="2" fillId="7" borderId="18" xfId="1" applyNumberFormat="1" applyFont="1" applyFill="1" applyBorder="1"/>
    <xf numFmtId="0" fontId="10" fillId="13" borderId="17" xfId="0" applyFont="1" applyFill="1" applyBorder="1"/>
    <xf numFmtId="164" fontId="10" fillId="14" borderId="17" xfId="1" applyNumberFormat="1" applyFont="1" applyFill="1" applyBorder="1"/>
    <xf numFmtId="164" fontId="10" fillId="3" borderId="18" xfId="1" applyNumberFormat="1" applyFont="1" applyFill="1" applyBorder="1"/>
    <xf numFmtId="164" fontId="10" fillId="3" borderId="17" xfId="1" applyNumberFormat="1" applyFont="1" applyFill="1" applyBorder="1"/>
    <xf numFmtId="43" fontId="10" fillId="4" borderId="19" xfId="1" applyFont="1" applyFill="1" applyBorder="1"/>
    <xf numFmtId="43" fontId="10" fillId="3" borderId="18" xfId="1" applyFont="1" applyFill="1" applyBorder="1"/>
    <xf numFmtId="164" fontId="2" fillId="5" borderId="21" xfId="1" applyNumberFormat="1" applyFont="1" applyFill="1" applyBorder="1"/>
    <xf numFmtId="164" fontId="2" fillId="6" borderId="9" xfId="1" applyNumberFormat="1" applyFont="1" applyFill="1" applyBorder="1"/>
    <xf numFmtId="164" fontId="2" fillId="7" borderId="9" xfId="1" applyNumberFormat="1" applyFont="1" applyFill="1" applyBorder="1"/>
    <xf numFmtId="164" fontId="0" fillId="0" borderId="0" xfId="1" applyNumberFormat="1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81258-E989-4C2C-8816-2E954D26EC6E}">
  <dimension ref="A1:M112"/>
  <sheetViews>
    <sheetView tabSelected="1" workbookViewId="0">
      <selection activeCell="P9" sqref="P9"/>
    </sheetView>
  </sheetViews>
  <sheetFormatPr baseColWidth="10" defaultRowHeight="14.5" x14ac:dyDescent="0.35"/>
  <sheetData>
    <row r="1" spans="1:13" ht="26.5" thickBot="1" x14ac:dyDescent="0.65">
      <c r="A1" s="1" t="s">
        <v>0</v>
      </c>
      <c r="B1" s="2"/>
      <c r="C1" s="3"/>
      <c r="D1" s="3"/>
      <c r="E1" s="3"/>
      <c r="F1" s="3"/>
      <c r="G1" s="4"/>
      <c r="H1" s="4"/>
      <c r="I1" s="4"/>
      <c r="K1" t="s">
        <v>1</v>
      </c>
      <c r="L1" t="s">
        <v>2</v>
      </c>
    </row>
    <row r="2" spans="1:13" x14ac:dyDescent="0.35">
      <c r="A2" s="2"/>
      <c r="B2" s="2"/>
      <c r="C2" s="3"/>
      <c r="D2" s="3"/>
      <c r="E2" s="3"/>
      <c r="F2" s="5"/>
      <c r="G2" s="6"/>
      <c r="H2" s="7"/>
      <c r="I2" s="5"/>
      <c r="J2" s="8"/>
      <c r="K2" s="9" t="s">
        <v>3</v>
      </c>
      <c r="L2" s="10" t="s">
        <v>3</v>
      </c>
    </row>
    <row r="3" spans="1:13" x14ac:dyDescent="0.35">
      <c r="A3" s="11" t="s">
        <v>4</v>
      </c>
      <c r="B3" s="11" t="s">
        <v>5</v>
      </c>
      <c r="C3" s="12" t="s">
        <v>6</v>
      </c>
      <c r="D3" s="12" t="s">
        <v>7</v>
      </c>
      <c r="E3" s="12" t="s">
        <v>8</v>
      </c>
      <c r="F3" s="13" t="s">
        <v>8</v>
      </c>
      <c r="G3" s="14" t="s">
        <v>8</v>
      </c>
      <c r="H3" s="15" t="s">
        <v>8</v>
      </c>
      <c r="I3" s="13" t="s">
        <v>9</v>
      </c>
      <c r="J3" s="16" t="s">
        <v>9</v>
      </c>
      <c r="K3" s="17" t="s">
        <v>10</v>
      </c>
      <c r="L3" s="18" t="s">
        <v>9</v>
      </c>
      <c r="M3" s="19"/>
    </row>
    <row r="4" spans="1:13" x14ac:dyDescent="0.35">
      <c r="A4" s="20"/>
      <c r="B4" s="20"/>
      <c r="C4" s="21">
        <v>2017</v>
      </c>
      <c r="D4" s="21">
        <v>2018</v>
      </c>
      <c r="E4" s="21">
        <v>2019</v>
      </c>
      <c r="F4" s="22">
        <v>2020</v>
      </c>
      <c r="G4" s="23">
        <v>2021</v>
      </c>
      <c r="H4" s="24">
        <v>2022</v>
      </c>
      <c r="I4" s="22">
        <v>2022</v>
      </c>
      <c r="J4" s="25">
        <v>2023</v>
      </c>
      <c r="K4" s="26">
        <v>2024</v>
      </c>
      <c r="L4" s="27">
        <v>2024</v>
      </c>
      <c r="M4" s="19"/>
    </row>
    <row r="5" spans="1:13" ht="18.5" x14ac:dyDescent="0.45">
      <c r="A5" s="2"/>
      <c r="B5" s="28" t="s">
        <v>11</v>
      </c>
      <c r="C5" s="29"/>
      <c r="D5" s="3"/>
      <c r="E5" s="29"/>
      <c r="F5" s="30"/>
      <c r="G5" s="31"/>
      <c r="H5" s="32"/>
      <c r="I5" s="30"/>
      <c r="J5" s="33"/>
      <c r="K5" s="34"/>
      <c r="L5" s="35"/>
    </row>
    <row r="6" spans="1:13" x14ac:dyDescent="0.35">
      <c r="A6" s="2"/>
      <c r="B6" s="36" t="s">
        <v>12</v>
      </c>
      <c r="C6" s="37"/>
      <c r="D6" s="3"/>
      <c r="E6" s="37"/>
      <c r="F6" s="38"/>
      <c r="G6" s="39"/>
      <c r="H6" s="40"/>
      <c r="I6" s="38"/>
      <c r="J6" s="33"/>
      <c r="K6" s="34"/>
      <c r="L6" s="35"/>
    </row>
    <row r="7" spans="1:13" x14ac:dyDescent="0.35">
      <c r="A7" s="41">
        <v>3100</v>
      </c>
      <c r="B7" s="41" t="s">
        <v>13</v>
      </c>
      <c r="C7" s="42">
        <v>-100</v>
      </c>
      <c r="D7" s="42">
        <v>5130</v>
      </c>
      <c r="E7" s="42">
        <v>10821</v>
      </c>
      <c r="F7" s="43">
        <v>4358</v>
      </c>
      <c r="G7" s="44">
        <v>0</v>
      </c>
      <c r="H7" s="45">
        <v>0</v>
      </c>
      <c r="I7" s="43">
        <v>5200</v>
      </c>
      <c r="J7" s="33">
        <v>3000</v>
      </c>
      <c r="K7" s="34">
        <v>3000</v>
      </c>
      <c r="L7" s="35">
        <v>3000</v>
      </c>
      <c r="M7" t="s">
        <v>14</v>
      </c>
    </row>
    <row r="8" spans="1:13" x14ac:dyDescent="0.35">
      <c r="A8" s="41">
        <v>3220</v>
      </c>
      <c r="B8" s="41" t="s">
        <v>15</v>
      </c>
      <c r="C8" s="42">
        <v>53507</v>
      </c>
      <c r="D8" s="42">
        <v>48782</v>
      </c>
      <c r="E8" s="42">
        <v>38950</v>
      </c>
      <c r="F8" s="43">
        <v>31891</v>
      </c>
      <c r="G8" s="44">
        <v>33250</v>
      </c>
      <c r="H8" s="45">
        <v>36800</v>
      </c>
      <c r="I8" s="43">
        <v>55000</v>
      </c>
      <c r="J8" s="33">
        <v>38000</v>
      </c>
      <c r="K8" s="34">
        <v>35000</v>
      </c>
      <c r="L8" s="35">
        <v>40000</v>
      </c>
      <c r="M8" t="s">
        <v>16</v>
      </c>
    </row>
    <row r="9" spans="1:13" ht="15" thickBot="1" x14ac:dyDescent="0.4">
      <c r="A9" s="46"/>
      <c r="B9" s="47" t="s">
        <v>17</v>
      </c>
      <c r="C9" s="48">
        <v>53407</v>
      </c>
      <c r="D9" s="48">
        <v>53912</v>
      </c>
      <c r="E9" s="48">
        <v>49771</v>
      </c>
      <c r="F9" s="49">
        <f t="shared" ref="F9:L9" si="0">SUM(F7:F8)</f>
        <v>36249</v>
      </c>
      <c r="G9" s="50">
        <f t="shared" si="0"/>
        <v>33250</v>
      </c>
      <c r="H9" s="51">
        <f t="shared" si="0"/>
        <v>36800</v>
      </c>
      <c r="I9" s="49">
        <f t="shared" si="0"/>
        <v>60200</v>
      </c>
      <c r="J9" s="52">
        <f t="shared" si="0"/>
        <v>41000</v>
      </c>
      <c r="K9" s="53">
        <f t="shared" si="0"/>
        <v>38000</v>
      </c>
      <c r="L9" s="54">
        <f t="shared" si="0"/>
        <v>43000</v>
      </c>
    </row>
    <row r="10" spans="1:13" x14ac:dyDescent="0.35">
      <c r="A10" s="46"/>
      <c r="B10" s="2"/>
      <c r="C10" s="3"/>
      <c r="D10" s="3"/>
      <c r="E10" s="3"/>
      <c r="F10" s="55"/>
      <c r="G10" s="4"/>
      <c r="H10" s="56"/>
      <c r="I10" s="55"/>
      <c r="J10" s="33"/>
      <c r="K10" s="34"/>
      <c r="L10" s="35"/>
    </row>
    <row r="11" spans="1:13" x14ac:dyDescent="0.35">
      <c r="A11" s="46"/>
      <c r="B11" s="36" t="s">
        <v>18</v>
      </c>
      <c r="C11" s="37"/>
      <c r="D11" s="3"/>
      <c r="E11" s="37"/>
      <c r="F11" s="38"/>
      <c r="G11" s="39"/>
      <c r="H11" s="40"/>
      <c r="I11" s="38"/>
      <c r="J11" s="33"/>
      <c r="K11" s="34"/>
      <c r="L11" s="35"/>
    </row>
    <row r="12" spans="1:13" x14ac:dyDescent="0.35">
      <c r="A12" s="41">
        <v>3225</v>
      </c>
      <c r="B12" s="41" t="s">
        <v>19</v>
      </c>
      <c r="C12" s="42">
        <v>14359</v>
      </c>
      <c r="D12" s="42">
        <v>14640</v>
      </c>
      <c r="E12" s="42">
        <v>14545</v>
      </c>
      <c r="F12" s="43">
        <v>8248</v>
      </c>
      <c r="G12" s="44">
        <v>7727</v>
      </c>
      <c r="H12" s="56">
        <v>17393</v>
      </c>
      <c r="I12" s="43">
        <v>18000</v>
      </c>
      <c r="J12" s="33">
        <v>9000</v>
      </c>
      <c r="K12" s="34">
        <v>9000</v>
      </c>
      <c r="L12" s="35">
        <v>9000</v>
      </c>
    </row>
    <row r="13" spans="1:13" x14ac:dyDescent="0.35">
      <c r="A13" s="41">
        <v>3230</v>
      </c>
      <c r="B13" s="41" t="s">
        <v>20</v>
      </c>
      <c r="C13" s="42">
        <v>233000</v>
      </c>
      <c r="D13" s="42">
        <v>0</v>
      </c>
      <c r="E13" s="42">
        <v>622458.31000000006</v>
      </c>
      <c r="F13" s="43">
        <v>231621.95</v>
      </c>
      <c r="G13" s="44">
        <v>197664.8</v>
      </c>
      <c r="H13" s="57">
        <f>417086-100426</f>
        <v>316660</v>
      </c>
      <c r="I13" s="58"/>
      <c r="J13" s="33">
        <v>375000</v>
      </c>
      <c r="K13" s="34">
        <v>70000</v>
      </c>
      <c r="L13" s="35">
        <v>400000</v>
      </c>
      <c r="M13" t="s">
        <v>21</v>
      </c>
    </row>
    <row r="14" spans="1:13" x14ac:dyDescent="0.35">
      <c r="A14" s="41">
        <v>3235</v>
      </c>
      <c r="B14" s="41" t="s">
        <v>22</v>
      </c>
      <c r="C14" s="42">
        <v>259827</v>
      </c>
      <c r="D14" s="42">
        <v>222626</v>
      </c>
      <c r="E14" s="42">
        <v>189184</v>
      </c>
      <c r="F14" s="43">
        <v>144697</v>
      </c>
      <c r="G14" s="44">
        <v>51813.68</v>
      </c>
      <c r="H14" s="56">
        <f>53359+43000</f>
        <v>96359</v>
      </c>
      <c r="I14" s="59">
        <v>255000</v>
      </c>
      <c r="J14" s="33">
        <v>100000</v>
      </c>
      <c r="K14" s="34"/>
      <c r="L14" s="35">
        <f>50000+40000+3000+30000</f>
        <v>123000</v>
      </c>
    </row>
    <row r="15" spans="1:13" x14ac:dyDescent="0.35">
      <c r="A15" s="41">
        <v>3239</v>
      </c>
      <c r="B15" s="41" t="s">
        <v>23</v>
      </c>
      <c r="C15" s="42">
        <v>0</v>
      </c>
      <c r="D15" s="42">
        <v>0</v>
      </c>
      <c r="E15" s="42">
        <v>-48830</v>
      </c>
      <c r="F15" s="43"/>
      <c r="G15" s="44"/>
      <c r="H15" s="56"/>
      <c r="I15" s="59"/>
      <c r="J15" s="33"/>
      <c r="K15" s="34"/>
      <c r="L15" s="35"/>
    </row>
    <row r="16" spans="1:13" x14ac:dyDescent="0.35">
      <c r="A16" s="41">
        <v>3240</v>
      </c>
      <c r="B16" s="41" t="s">
        <v>24</v>
      </c>
      <c r="C16" s="42">
        <v>75353</v>
      </c>
      <c r="D16" s="42">
        <v>69047</v>
      </c>
      <c r="E16" s="42">
        <v>70072</v>
      </c>
      <c r="F16" s="43">
        <v>72392</v>
      </c>
      <c r="G16" s="44">
        <v>60838</v>
      </c>
      <c r="H16" s="56">
        <v>54176</v>
      </c>
      <c r="I16" s="59">
        <v>69000</v>
      </c>
      <c r="J16" s="33">
        <v>60000</v>
      </c>
      <c r="K16" s="34">
        <v>60000</v>
      </c>
      <c r="L16" s="35">
        <v>60000</v>
      </c>
    </row>
    <row r="17" spans="1:13" x14ac:dyDescent="0.35">
      <c r="A17" s="41">
        <v>3244</v>
      </c>
      <c r="B17" s="41" t="s">
        <v>25</v>
      </c>
      <c r="C17" s="42"/>
      <c r="D17" s="42"/>
      <c r="E17" s="42"/>
      <c r="F17" s="43"/>
      <c r="G17" s="44"/>
      <c r="H17" s="56">
        <v>0</v>
      </c>
      <c r="I17" s="59"/>
      <c r="J17" s="33">
        <v>2000</v>
      </c>
      <c r="K17" s="34"/>
      <c r="L17" s="35">
        <f>100*20</f>
        <v>2000</v>
      </c>
      <c r="M17" t="s">
        <v>26</v>
      </c>
    </row>
    <row r="18" spans="1:13" x14ac:dyDescent="0.35">
      <c r="A18" s="60">
        <v>3245</v>
      </c>
      <c r="B18" s="60" t="s">
        <v>27</v>
      </c>
      <c r="C18" s="61">
        <v>3000</v>
      </c>
      <c r="D18" s="61">
        <v>2000</v>
      </c>
      <c r="E18" s="61">
        <v>9000</v>
      </c>
      <c r="F18" s="43">
        <v>3500</v>
      </c>
      <c r="G18" s="44"/>
      <c r="H18" s="56">
        <v>25000</v>
      </c>
      <c r="I18" s="59">
        <v>4000</v>
      </c>
      <c r="J18" s="33">
        <v>4000</v>
      </c>
      <c r="K18" s="34">
        <v>4000</v>
      </c>
      <c r="L18" s="35">
        <v>4000</v>
      </c>
    </row>
    <row r="19" spans="1:13" x14ac:dyDescent="0.35">
      <c r="A19" s="60">
        <v>3250</v>
      </c>
      <c r="B19" s="60" t="s">
        <v>28</v>
      </c>
      <c r="C19" s="61">
        <v>9200</v>
      </c>
      <c r="D19" s="61">
        <v>3400</v>
      </c>
      <c r="E19" s="61">
        <v>0</v>
      </c>
      <c r="F19" s="43">
        <v>100000</v>
      </c>
      <c r="G19" s="44">
        <v>332945.28999999998</v>
      </c>
      <c r="H19" s="57">
        <v>100000</v>
      </c>
      <c r="I19" s="62">
        <v>241000</v>
      </c>
      <c r="J19" s="33">
        <v>110000</v>
      </c>
      <c r="K19" s="34">
        <v>100000</v>
      </c>
      <c r="L19" s="35">
        <f>100000+20000</f>
        <v>120000</v>
      </c>
      <c r="M19" t="s">
        <v>29</v>
      </c>
    </row>
    <row r="20" spans="1:13" x14ac:dyDescent="0.35">
      <c r="A20" s="60">
        <v>3251</v>
      </c>
      <c r="B20" s="60" t="s">
        <v>30</v>
      </c>
      <c r="C20" s="61">
        <v>0</v>
      </c>
      <c r="D20" s="61">
        <v>0</v>
      </c>
      <c r="E20" s="61">
        <v>0</v>
      </c>
      <c r="F20" s="43">
        <v>0</v>
      </c>
      <c r="G20" s="44"/>
      <c r="H20" s="56"/>
      <c r="I20" s="59"/>
      <c r="J20" s="33"/>
      <c r="K20" s="34"/>
      <c r="L20" s="35"/>
    </row>
    <row r="21" spans="1:13" x14ac:dyDescent="0.35">
      <c r="A21" s="60">
        <v>3255</v>
      </c>
      <c r="B21" s="60" t="s">
        <v>31</v>
      </c>
      <c r="C21" s="61">
        <v>0</v>
      </c>
      <c r="D21" s="61">
        <v>0</v>
      </c>
      <c r="E21" s="61">
        <v>0</v>
      </c>
      <c r="F21" s="43">
        <v>0</v>
      </c>
      <c r="G21" s="44"/>
      <c r="H21" s="56"/>
      <c r="I21" s="59"/>
      <c r="J21" s="33"/>
      <c r="K21" s="34"/>
      <c r="L21" s="35"/>
    </row>
    <row r="22" spans="1:13" x14ac:dyDescent="0.35">
      <c r="A22" s="60">
        <v>3260</v>
      </c>
      <c r="B22" s="60" t="s">
        <v>32</v>
      </c>
      <c r="C22" s="61">
        <v>104790</v>
      </c>
      <c r="D22" s="61">
        <v>90400</v>
      </c>
      <c r="E22" s="61">
        <v>155900</v>
      </c>
      <c r="F22" s="43">
        <v>29850</v>
      </c>
      <c r="G22" s="44"/>
      <c r="H22" s="56">
        <v>20300</v>
      </c>
      <c r="I22" s="59">
        <v>180000</v>
      </c>
      <c r="J22" s="33">
        <v>100000</v>
      </c>
      <c r="K22" s="34">
        <v>100000</v>
      </c>
      <c r="L22" s="35">
        <v>100000</v>
      </c>
    </row>
    <row r="23" spans="1:13" x14ac:dyDescent="0.35">
      <c r="A23" s="41">
        <v>3265</v>
      </c>
      <c r="B23" s="41" t="s">
        <v>33</v>
      </c>
      <c r="C23" s="42">
        <v>0</v>
      </c>
      <c r="D23" s="42">
        <v>795</v>
      </c>
      <c r="E23" s="42">
        <v>0</v>
      </c>
      <c r="F23" s="43"/>
      <c r="G23" s="44"/>
      <c r="H23" s="56"/>
      <c r="I23" s="59"/>
      <c r="J23" s="33"/>
      <c r="K23" s="34"/>
      <c r="L23" s="35"/>
    </row>
    <row r="24" spans="1:13" x14ac:dyDescent="0.35">
      <c r="A24" s="41">
        <v>3260</v>
      </c>
      <c r="B24" s="41" t="s">
        <v>34</v>
      </c>
      <c r="C24" s="42"/>
      <c r="D24" s="42"/>
      <c r="E24" s="42"/>
      <c r="F24" s="43"/>
      <c r="G24" s="44"/>
      <c r="H24" s="56">
        <v>40236</v>
      </c>
      <c r="I24" s="59"/>
      <c r="J24" s="63">
        <f>3832*10</f>
        <v>38320</v>
      </c>
      <c r="K24" s="34"/>
      <c r="L24" s="35"/>
      <c r="M24" t="s">
        <v>35</v>
      </c>
    </row>
    <row r="25" spans="1:13" x14ac:dyDescent="0.35">
      <c r="A25" s="41">
        <v>3900</v>
      </c>
      <c r="B25" s="41" t="s">
        <v>36</v>
      </c>
      <c r="C25" s="42">
        <v>2155.7399999999998</v>
      </c>
      <c r="D25" s="42">
        <v>1307.6500000000001</v>
      </c>
      <c r="E25" s="42">
        <v>1488.55</v>
      </c>
      <c r="F25" s="43">
        <v>1311.8</v>
      </c>
      <c r="G25" s="44"/>
      <c r="H25" s="56">
        <v>997.34</v>
      </c>
      <c r="I25" s="59">
        <v>2000</v>
      </c>
      <c r="J25" s="33">
        <v>2000</v>
      </c>
      <c r="K25" s="34">
        <v>2000</v>
      </c>
      <c r="L25" s="35">
        <v>1000</v>
      </c>
    </row>
    <row r="26" spans="1:13" x14ac:dyDescent="0.35">
      <c r="A26" s="41">
        <v>3905</v>
      </c>
      <c r="B26" s="41" t="s">
        <v>37</v>
      </c>
      <c r="C26" s="42">
        <v>0</v>
      </c>
      <c r="D26" s="42">
        <v>0</v>
      </c>
      <c r="E26" s="42">
        <v>0</v>
      </c>
      <c r="F26" s="43"/>
      <c r="G26" s="44"/>
      <c r="H26" s="56"/>
      <c r="I26" s="59"/>
      <c r="J26" s="33"/>
      <c r="K26" s="34"/>
      <c r="L26" s="35"/>
    </row>
    <row r="27" spans="1:13" x14ac:dyDescent="0.35">
      <c r="A27" s="41">
        <v>3910</v>
      </c>
      <c r="B27" s="41" t="s">
        <v>38</v>
      </c>
      <c r="C27" s="42">
        <v>44463</v>
      </c>
      <c r="D27" s="42">
        <v>58013</v>
      </c>
      <c r="E27" s="42">
        <v>35716</v>
      </c>
      <c r="F27" s="43">
        <v>81721</v>
      </c>
      <c r="G27" s="44">
        <v>76511</v>
      </c>
      <c r="H27" s="56">
        <v>56915</v>
      </c>
      <c r="I27" s="59">
        <v>51000</v>
      </c>
      <c r="J27" s="33">
        <v>60000</v>
      </c>
      <c r="K27" s="34">
        <v>70000</v>
      </c>
      <c r="L27" s="35">
        <v>62000</v>
      </c>
    </row>
    <row r="28" spans="1:13" x14ac:dyDescent="0.35">
      <c r="A28" s="41">
        <v>3915</v>
      </c>
      <c r="B28" s="41" t="s">
        <v>39</v>
      </c>
      <c r="C28" s="42">
        <v>8214</v>
      </c>
      <c r="D28" s="42">
        <v>0</v>
      </c>
      <c r="E28" s="42">
        <v>0</v>
      </c>
      <c r="F28" s="43">
        <v>1010</v>
      </c>
      <c r="G28" s="44"/>
      <c r="H28" s="56"/>
      <c r="I28" s="43"/>
      <c r="J28" s="33"/>
      <c r="K28" s="34"/>
      <c r="L28" s="35"/>
    </row>
    <row r="29" spans="1:13" ht="15" thickBot="1" x14ac:dyDescent="0.4">
      <c r="A29" s="2"/>
      <c r="B29" s="64" t="s">
        <v>40</v>
      </c>
      <c r="C29" s="48">
        <v>754361.74</v>
      </c>
      <c r="D29" s="48">
        <v>462228.65</v>
      </c>
      <c r="E29" s="48">
        <v>1049533.8600000001</v>
      </c>
      <c r="F29" s="49">
        <f>SUM(F9:F28)</f>
        <v>710600.75</v>
      </c>
      <c r="G29" s="50">
        <f>SUM(G12:G28)</f>
        <v>727499.77</v>
      </c>
      <c r="H29" s="51">
        <f>SUM(H12:H27)</f>
        <v>728036.34</v>
      </c>
      <c r="I29" s="49">
        <f>SUM(I12:I28)</f>
        <v>820000</v>
      </c>
      <c r="J29" s="65">
        <f>SUM(J5:J28)</f>
        <v>942320</v>
      </c>
      <c r="K29" s="66">
        <f>SUM(K7:K28)</f>
        <v>491000</v>
      </c>
      <c r="L29" s="67">
        <f>SUM(L7:L28)</f>
        <v>967000</v>
      </c>
    </row>
    <row r="30" spans="1:13" x14ac:dyDescent="0.35">
      <c r="A30" s="2"/>
      <c r="B30" s="2"/>
      <c r="C30" s="3"/>
      <c r="D30" s="3"/>
      <c r="E30" s="3"/>
      <c r="F30" s="55"/>
      <c r="G30" s="4"/>
      <c r="H30" s="56"/>
      <c r="I30" s="55"/>
      <c r="J30" s="33"/>
      <c r="K30" s="34"/>
      <c r="L30" s="35"/>
    </row>
    <row r="31" spans="1:13" ht="15" thickBot="1" x14ac:dyDescent="0.4">
      <c r="A31" s="41"/>
      <c r="B31" s="68" t="s">
        <v>41</v>
      </c>
      <c r="C31" s="69">
        <v>807768.74</v>
      </c>
      <c r="D31" s="69">
        <v>516140.65</v>
      </c>
      <c r="E31" s="69">
        <v>1099304.8600000001</v>
      </c>
      <c r="F31" s="70">
        <f>F29</f>
        <v>710600.75</v>
      </c>
      <c r="G31" s="71">
        <f>G29+G9</f>
        <v>760749.77</v>
      </c>
      <c r="H31" s="72">
        <v>765263</v>
      </c>
      <c r="I31" s="70">
        <f>I29+I9</f>
        <v>880200</v>
      </c>
      <c r="J31" s="52">
        <f>J29+J9</f>
        <v>983320</v>
      </c>
      <c r="K31" s="73">
        <f>K29+K9</f>
        <v>529000</v>
      </c>
      <c r="L31" s="74">
        <f>L29+L9</f>
        <v>1010000</v>
      </c>
    </row>
    <row r="32" spans="1:13" x14ac:dyDescent="0.35">
      <c r="A32" s="2"/>
      <c r="B32" s="2"/>
      <c r="C32" s="3"/>
      <c r="D32" s="3"/>
      <c r="E32" s="3"/>
      <c r="F32" s="55"/>
      <c r="G32" s="4"/>
      <c r="H32" s="56"/>
      <c r="I32" s="55"/>
      <c r="J32" s="33"/>
      <c r="K32" s="34"/>
      <c r="L32" s="35"/>
    </row>
    <row r="33" spans="1:13" ht="18.5" x14ac:dyDescent="0.45">
      <c r="A33" s="2"/>
      <c r="B33" s="28" t="s">
        <v>42</v>
      </c>
      <c r="C33" s="29"/>
      <c r="D33" s="3"/>
      <c r="E33" s="29"/>
      <c r="F33" s="30"/>
      <c r="G33" s="31"/>
      <c r="H33" s="75"/>
      <c r="I33" s="76"/>
      <c r="J33" s="33"/>
      <c r="K33" s="34"/>
      <c r="L33" s="35"/>
    </row>
    <row r="34" spans="1:13" x14ac:dyDescent="0.35">
      <c r="A34" s="2"/>
      <c r="B34" s="36" t="s">
        <v>43</v>
      </c>
      <c r="C34" s="37"/>
      <c r="D34" s="3"/>
      <c r="E34" s="37"/>
      <c r="F34" s="38"/>
      <c r="G34" s="39"/>
      <c r="H34" s="77"/>
      <c r="I34" s="78"/>
      <c r="J34" s="33"/>
      <c r="K34" s="34"/>
      <c r="L34" s="35"/>
    </row>
    <row r="35" spans="1:13" x14ac:dyDescent="0.35">
      <c r="A35" s="41">
        <v>4300</v>
      </c>
      <c r="B35" s="41" t="s">
        <v>44</v>
      </c>
      <c r="C35" s="42">
        <v>-525.75</v>
      </c>
      <c r="D35" s="42">
        <v>-4332</v>
      </c>
      <c r="E35" s="42">
        <v>-13543.83</v>
      </c>
      <c r="F35" s="43">
        <v>-6265</v>
      </c>
      <c r="G35" s="44">
        <f>-5000</f>
        <v>-5000</v>
      </c>
      <c r="H35" s="79"/>
      <c r="I35" s="80"/>
      <c r="J35" s="33">
        <f>4000</f>
        <v>4000</v>
      </c>
      <c r="K35" s="34">
        <v>0</v>
      </c>
      <c r="L35" s="35">
        <v>0</v>
      </c>
    </row>
    <row r="36" spans="1:13" x14ac:dyDescent="0.35">
      <c r="A36" s="41">
        <v>4990</v>
      </c>
      <c r="B36" s="41" t="s">
        <v>45</v>
      </c>
      <c r="C36" s="42">
        <v>1777</v>
      </c>
      <c r="D36" s="42">
        <v>9576</v>
      </c>
      <c r="E36" s="42">
        <v>2583.75</v>
      </c>
      <c r="F36" s="43">
        <v>602.25</v>
      </c>
      <c r="G36" s="3">
        <f>1165.56</f>
        <v>1165.56</v>
      </c>
      <c r="H36" s="79">
        <v>1166.55</v>
      </c>
      <c r="I36" s="80"/>
      <c r="J36" s="33"/>
      <c r="K36" s="34"/>
      <c r="L36" s="35"/>
    </row>
    <row r="37" spans="1:13" ht="15" thickBot="1" x14ac:dyDescent="0.4">
      <c r="A37" s="2"/>
      <c r="B37" s="64" t="s">
        <v>46</v>
      </c>
      <c r="C37" s="48">
        <v>1251.25</v>
      </c>
      <c r="D37" s="48">
        <v>5244</v>
      </c>
      <c r="E37" s="48">
        <v>-10960.08</v>
      </c>
      <c r="F37" s="49">
        <f>SUM(F35:F36)</f>
        <v>-5662.75</v>
      </c>
      <c r="G37" s="50">
        <f>SUM(G35:G36)</f>
        <v>-3834.44</v>
      </c>
      <c r="H37" s="81">
        <f>SUM(H35:H36)</f>
        <v>1166.55</v>
      </c>
      <c r="I37" s="82"/>
      <c r="J37" s="65">
        <f>SUM(J35:J36)</f>
        <v>4000</v>
      </c>
      <c r="K37" s="83"/>
      <c r="L37" s="84"/>
    </row>
    <row r="38" spans="1:13" x14ac:dyDescent="0.35">
      <c r="A38" s="2"/>
      <c r="B38" s="2"/>
      <c r="C38" s="3"/>
      <c r="D38" s="3"/>
      <c r="E38" s="3"/>
      <c r="F38" s="55"/>
      <c r="G38" s="4"/>
      <c r="H38" s="85"/>
      <c r="I38" s="86"/>
      <c r="J38" s="33"/>
      <c r="K38" s="34"/>
      <c r="L38" s="35"/>
    </row>
    <row r="39" spans="1:13" x14ac:dyDescent="0.35">
      <c r="A39" s="2"/>
      <c r="B39" s="36" t="s">
        <v>47</v>
      </c>
      <c r="C39" s="37"/>
      <c r="D39" s="3"/>
      <c r="E39" s="37"/>
      <c r="F39" s="38"/>
      <c r="G39" s="39"/>
      <c r="H39" s="77"/>
      <c r="I39" s="78"/>
      <c r="J39" s="33"/>
      <c r="K39" s="34"/>
      <c r="L39" s="35"/>
    </row>
    <row r="40" spans="1:13" x14ac:dyDescent="0.35">
      <c r="A40" s="60">
        <v>5000</v>
      </c>
      <c r="B40" s="60" t="s">
        <v>48</v>
      </c>
      <c r="C40" s="61">
        <v>-430542.77</v>
      </c>
      <c r="D40" s="61">
        <v>-213331.3</v>
      </c>
      <c r="E40" s="61">
        <v>-400733.87</v>
      </c>
      <c r="F40" s="43">
        <v>-419477.9</v>
      </c>
      <c r="G40" s="44">
        <f>-300415.98</f>
        <v>-300415.98</v>
      </c>
      <c r="H40" s="87">
        <v>279141.21000000002</v>
      </c>
      <c r="I40" s="80">
        <v>265000</v>
      </c>
      <c r="J40" s="33">
        <f>300000</f>
        <v>300000</v>
      </c>
      <c r="K40" s="34">
        <v>300000</v>
      </c>
      <c r="L40" s="35">
        <v>300000</v>
      </c>
    </row>
    <row r="41" spans="1:13" x14ac:dyDescent="0.35">
      <c r="A41" s="60">
        <v>5001</v>
      </c>
      <c r="B41" s="60" t="s">
        <v>49</v>
      </c>
      <c r="C41" s="61"/>
      <c r="D41" s="61"/>
      <c r="E41" s="61"/>
      <c r="F41" s="43"/>
      <c r="G41" s="44"/>
      <c r="H41" s="87">
        <v>34675</v>
      </c>
      <c r="I41" s="88"/>
      <c r="J41" s="33">
        <v>35000</v>
      </c>
      <c r="K41" s="34"/>
      <c r="L41" s="35">
        <v>35000</v>
      </c>
      <c r="M41" t="s">
        <v>50</v>
      </c>
    </row>
    <row r="42" spans="1:13" x14ac:dyDescent="0.35">
      <c r="A42" s="60">
        <v>5330</v>
      </c>
      <c r="B42" s="60" t="s">
        <v>51</v>
      </c>
      <c r="C42" s="61">
        <v>0</v>
      </c>
      <c r="D42" s="61">
        <v>0</v>
      </c>
      <c r="E42" s="61">
        <v>0</v>
      </c>
      <c r="F42" s="43"/>
      <c r="G42" s="44"/>
      <c r="H42" s="87"/>
      <c r="I42" s="89"/>
      <c r="J42" s="33"/>
      <c r="K42" s="34"/>
      <c r="L42" s="35"/>
    </row>
    <row r="43" spans="1:13" x14ac:dyDescent="0.35">
      <c r="A43" s="60">
        <v>5500</v>
      </c>
      <c r="B43" s="60" t="s">
        <v>52</v>
      </c>
      <c r="C43" s="61">
        <v>0</v>
      </c>
      <c r="D43" s="61">
        <v>0</v>
      </c>
      <c r="E43" s="61">
        <v>0</v>
      </c>
      <c r="F43" s="43"/>
      <c r="G43" s="44"/>
      <c r="H43" s="87"/>
      <c r="I43" s="80"/>
      <c r="J43" s="33"/>
      <c r="K43" s="34"/>
      <c r="L43" s="35"/>
    </row>
    <row r="44" spans="1:13" x14ac:dyDescent="0.35">
      <c r="A44" s="60">
        <v>5505</v>
      </c>
      <c r="B44" s="60" t="s">
        <v>53</v>
      </c>
      <c r="C44" s="61">
        <v>0</v>
      </c>
      <c r="D44" s="61">
        <v>0</v>
      </c>
      <c r="E44" s="61">
        <v>0</v>
      </c>
      <c r="F44" s="43"/>
      <c r="G44" s="44"/>
      <c r="H44" s="87"/>
      <c r="I44" s="80"/>
      <c r="J44" s="33"/>
      <c r="K44" s="34"/>
      <c r="L44" s="35"/>
    </row>
    <row r="45" spans="1:13" x14ac:dyDescent="0.35">
      <c r="A45" s="41">
        <v>5040</v>
      </c>
      <c r="B45" s="41" t="s">
        <v>54</v>
      </c>
      <c r="C45" s="42">
        <v>-12053.5</v>
      </c>
      <c r="D45" s="42">
        <v>-19874.5</v>
      </c>
      <c r="E45" s="42">
        <v>-20250</v>
      </c>
      <c r="F45" s="43">
        <v>-16250</v>
      </c>
      <c r="G45" s="44">
        <v>0</v>
      </c>
      <c r="H45" s="87">
        <v>88025</v>
      </c>
      <c r="I45" s="90">
        <v>66000</v>
      </c>
      <c r="J45" s="33">
        <v>89000</v>
      </c>
      <c r="K45" s="34">
        <v>15000</v>
      </c>
      <c r="L45" s="35">
        <v>90000</v>
      </c>
      <c r="M45" t="s">
        <v>55</v>
      </c>
    </row>
    <row r="46" spans="1:13" x14ac:dyDescent="0.35">
      <c r="A46" s="41">
        <v>5800</v>
      </c>
      <c r="B46" s="41" t="s">
        <v>56</v>
      </c>
      <c r="C46" s="42">
        <v>0</v>
      </c>
      <c r="D46" s="42">
        <v>0</v>
      </c>
      <c r="E46" s="42">
        <v>0</v>
      </c>
      <c r="F46" s="43"/>
      <c r="G46" s="44"/>
      <c r="H46" s="87"/>
      <c r="I46" s="80"/>
      <c r="J46" s="33"/>
      <c r="K46" s="34"/>
      <c r="L46" s="35"/>
    </row>
    <row r="47" spans="1:13" x14ac:dyDescent="0.35">
      <c r="A47" s="41">
        <v>5900</v>
      </c>
      <c r="B47" s="41" t="s">
        <v>57</v>
      </c>
      <c r="C47" s="42"/>
      <c r="D47" s="42"/>
      <c r="E47" s="42"/>
      <c r="F47" s="43"/>
      <c r="G47" s="44"/>
      <c r="H47" s="87">
        <v>507</v>
      </c>
      <c r="I47" s="80"/>
      <c r="J47" s="33">
        <v>500</v>
      </c>
      <c r="K47" s="34"/>
      <c r="L47" s="35">
        <v>500</v>
      </c>
    </row>
    <row r="48" spans="1:13" x14ac:dyDescent="0.35">
      <c r="A48" s="41">
        <v>5930</v>
      </c>
      <c r="B48" s="41" t="s">
        <v>58</v>
      </c>
      <c r="C48" s="42">
        <v>0</v>
      </c>
      <c r="D48" s="42">
        <v>0</v>
      </c>
      <c r="E48" s="42">
        <v>0</v>
      </c>
      <c r="F48" s="43"/>
      <c r="G48" s="44"/>
      <c r="H48" s="79">
        <v>5221</v>
      </c>
      <c r="I48" s="80"/>
      <c r="J48" s="33">
        <v>5500</v>
      </c>
      <c r="K48" s="34"/>
      <c r="L48" s="35">
        <v>5500</v>
      </c>
    </row>
    <row r="49" spans="1:13" x14ac:dyDescent="0.35">
      <c r="A49" s="41">
        <v>5990</v>
      </c>
      <c r="B49" s="41" t="s">
        <v>59</v>
      </c>
      <c r="C49" s="42"/>
      <c r="D49" s="42"/>
      <c r="E49" s="42"/>
      <c r="F49" s="43"/>
      <c r="G49" s="44"/>
      <c r="H49" s="79">
        <v>1232</v>
      </c>
      <c r="I49" s="80">
        <v>2000</v>
      </c>
      <c r="J49" s="33">
        <v>1500</v>
      </c>
      <c r="K49" s="34"/>
      <c r="L49" s="35">
        <v>1500</v>
      </c>
    </row>
    <row r="50" spans="1:13" x14ac:dyDescent="0.35">
      <c r="A50" s="41">
        <v>5991</v>
      </c>
      <c r="B50" s="41" t="s">
        <v>60</v>
      </c>
      <c r="C50" s="42">
        <v>0</v>
      </c>
      <c r="D50" s="42">
        <v>-250</v>
      </c>
      <c r="E50" s="42">
        <v>-300</v>
      </c>
      <c r="F50" s="43"/>
      <c r="G50" s="44"/>
      <c r="H50" s="91"/>
      <c r="I50" s="92"/>
      <c r="J50" s="33">
        <v>2000</v>
      </c>
      <c r="K50" s="34">
        <v>2000</v>
      </c>
      <c r="L50" s="35">
        <v>2000</v>
      </c>
    </row>
    <row r="51" spans="1:13" ht="15" thickBot="1" x14ac:dyDescent="0.4">
      <c r="A51" s="2"/>
      <c r="B51" s="47" t="s">
        <v>61</v>
      </c>
      <c r="C51" s="48">
        <v>-442596.27</v>
      </c>
      <c r="D51" s="48">
        <v>-233455.8</v>
      </c>
      <c r="E51" s="48">
        <v>-421283.87</v>
      </c>
      <c r="F51" s="49">
        <f>SUM(F40:F50)</f>
        <v>-435727.9</v>
      </c>
      <c r="G51" s="50">
        <f>SUM(G40:G50)</f>
        <v>-300415.98</v>
      </c>
      <c r="H51" s="81">
        <f>SUM(H38:H49)</f>
        <v>408801.21</v>
      </c>
      <c r="I51" s="82">
        <f>SUM(I40:I50)</f>
        <v>333000</v>
      </c>
      <c r="J51" s="52">
        <f>SUM(J40:J50)</f>
        <v>433500</v>
      </c>
      <c r="K51" s="52">
        <f>SUM(K40:K50)</f>
        <v>317000</v>
      </c>
      <c r="L51" s="74">
        <f>SUM(L40:L50)</f>
        <v>434500</v>
      </c>
    </row>
    <row r="52" spans="1:13" x14ac:dyDescent="0.35">
      <c r="A52" s="2"/>
      <c r="B52" s="2"/>
      <c r="C52" s="3"/>
      <c r="D52" s="3"/>
      <c r="E52" s="3"/>
      <c r="F52" s="55"/>
      <c r="G52" s="4"/>
      <c r="H52" s="85"/>
      <c r="I52" s="86"/>
      <c r="J52" s="33"/>
      <c r="K52" s="34"/>
      <c r="L52" s="35"/>
    </row>
    <row r="53" spans="1:13" x14ac:dyDescent="0.35">
      <c r="A53" s="2"/>
      <c r="B53" s="36" t="s">
        <v>62</v>
      </c>
      <c r="C53" s="37"/>
      <c r="D53" s="3"/>
      <c r="E53" s="37"/>
      <c r="F53" s="38"/>
      <c r="G53" s="39"/>
      <c r="H53" s="77"/>
      <c r="I53" s="78"/>
      <c r="J53" s="33"/>
      <c r="K53" s="34"/>
      <c r="L53" s="35"/>
    </row>
    <row r="54" spans="1:13" x14ac:dyDescent="0.35">
      <c r="A54" s="41">
        <v>6010</v>
      </c>
      <c r="B54" s="41" t="s">
        <v>63</v>
      </c>
      <c r="C54" s="42">
        <v>0</v>
      </c>
      <c r="D54" s="42">
        <v>0</v>
      </c>
      <c r="E54" s="42">
        <v>0</v>
      </c>
      <c r="F54" s="43">
        <v>0</v>
      </c>
      <c r="G54" s="44">
        <v>0</v>
      </c>
      <c r="H54" s="79">
        <v>0</v>
      </c>
      <c r="I54" s="80">
        <v>0</v>
      </c>
      <c r="J54" s="33"/>
      <c r="K54" s="34"/>
      <c r="L54" s="35"/>
    </row>
    <row r="55" spans="1:13" ht="15" thickBot="1" x14ac:dyDescent="0.4">
      <c r="A55" s="2"/>
      <c r="B55" s="47" t="s">
        <v>64</v>
      </c>
      <c r="C55" s="48">
        <v>0</v>
      </c>
      <c r="D55" s="48">
        <v>0</v>
      </c>
      <c r="E55" s="48">
        <v>0</v>
      </c>
      <c r="F55" s="49">
        <v>0</v>
      </c>
      <c r="G55" s="50">
        <f>G54</f>
        <v>0</v>
      </c>
      <c r="H55" s="81">
        <v>0</v>
      </c>
      <c r="I55" s="82"/>
      <c r="J55" s="65"/>
      <c r="K55" s="83"/>
      <c r="L55" s="84"/>
    </row>
    <row r="56" spans="1:13" x14ac:dyDescent="0.35">
      <c r="A56" s="2"/>
      <c r="B56" s="2"/>
      <c r="C56" s="3"/>
      <c r="D56" s="3"/>
      <c r="E56" s="3"/>
      <c r="F56" s="55"/>
      <c r="G56" s="4"/>
      <c r="H56" s="85"/>
      <c r="I56" s="86"/>
      <c r="J56" s="33"/>
      <c r="K56" s="34"/>
      <c r="L56" s="35"/>
    </row>
    <row r="57" spans="1:13" x14ac:dyDescent="0.35">
      <c r="A57" s="2"/>
      <c r="B57" s="36" t="s">
        <v>65</v>
      </c>
      <c r="C57" s="37"/>
      <c r="D57" s="3"/>
      <c r="E57" s="37"/>
      <c r="F57" s="38"/>
      <c r="G57" s="39"/>
      <c r="H57" s="77"/>
      <c r="I57" s="78"/>
      <c r="J57" s="33"/>
      <c r="K57" s="34"/>
      <c r="L57" s="35"/>
    </row>
    <row r="58" spans="1:13" x14ac:dyDescent="0.35">
      <c r="A58" s="60">
        <v>6300</v>
      </c>
      <c r="B58" s="60" t="s">
        <v>66</v>
      </c>
      <c r="C58" s="61">
        <v>-110130</v>
      </c>
      <c r="D58" s="61">
        <v>-53972</v>
      </c>
      <c r="E58" s="61">
        <v>-85232</v>
      </c>
      <c r="F58" s="43">
        <v>-54955</v>
      </c>
      <c r="G58" s="93">
        <v>-55486.5</v>
      </c>
      <c r="H58" s="79">
        <v>122057.5</v>
      </c>
      <c r="I58" s="80">
        <v>56000</v>
      </c>
      <c r="J58" s="33">
        <v>122000</v>
      </c>
      <c r="K58" s="34">
        <v>60000</v>
      </c>
      <c r="L58" s="35">
        <f>3000*12</f>
        <v>36000</v>
      </c>
      <c r="M58" t="s">
        <v>67</v>
      </c>
    </row>
    <row r="59" spans="1:13" x14ac:dyDescent="0.35">
      <c r="A59" s="60">
        <v>6340</v>
      </c>
      <c r="B59" s="60" t="s">
        <v>68</v>
      </c>
      <c r="C59" s="61">
        <v>0</v>
      </c>
      <c r="D59" s="61">
        <v>0</v>
      </c>
      <c r="E59" s="61">
        <v>0</v>
      </c>
      <c r="F59" s="43"/>
      <c r="G59" s="93"/>
      <c r="H59" s="79">
        <v>565</v>
      </c>
      <c r="I59" s="80"/>
      <c r="J59" s="33">
        <v>600</v>
      </c>
      <c r="K59" s="34"/>
      <c r="L59" s="35">
        <v>0</v>
      </c>
    </row>
    <row r="60" spans="1:13" x14ac:dyDescent="0.35">
      <c r="A60" s="60">
        <v>6360</v>
      </c>
      <c r="B60" s="60" t="s">
        <v>69</v>
      </c>
      <c r="C60" s="61">
        <v>0</v>
      </c>
      <c r="D60" s="61">
        <v>0</v>
      </c>
      <c r="E60" s="61">
        <v>-220</v>
      </c>
      <c r="F60" s="43"/>
      <c r="G60" s="93"/>
      <c r="H60" s="79"/>
      <c r="I60" s="80"/>
      <c r="J60" s="33"/>
      <c r="K60" s="34"/>
      <c r="L60" s="35">
        <v>2000</v>
      </c>
    </row>
    <row r="61" spans="1:13" x14ac:dyDescent="0.35">
      <c r="A61" s="60">
        <v>6390</v>
      </c>
      <c r="B61" s="60" t="s">
        <v>70</v>
      </c>
      <c r="C61" s="61"/>
      <c r="D61" s="61"/>
      <c r="E61" s="61"/>
      <c r="F61" s="43"/>
      <c r="G61" s="93">
        <f>-4000</f>
        <v>-4000</v>
      </c>
      <c r="H61" s="79">
        <v>31507</v>
      </c>
      <c r="I61" s="80"/>
      <c r="J61" s="33">
        <v>35000</v>
      </c>
      <c r="K61" s="34"/>
      <c r="L61" s="35">
        <f>5000+35000</f>
        <v>40000</v>
      </c>
      <c r="M61" t="s">
        <v>71</v>
      </c>
    </row>
    <row r="62" spans="1:13" x14ac:dyDescent="0.35">
      <c r="A62" s="60">
        <v>6420</v>
      </c>
      <c r="B62" s="60" t="s">
        <v>72</v>
      </c>
      <c r="C62" s="61"/>
      <c r="D62" s="61"/>
      <c r="E62" s="61"/>
      <c r="F62" s="43"/>
      <c r="G62" s="93">
        <f>-3942</f>
        <v>-3942</v>
      </c>
      <c r="H62" s="79">
        <v>5982</v>
      </c>
      <c r="I62" s="80"/>
      <c r="J62" s="33">
        <v>6500</v>
      </c>
      <c r="K62" s="34"/>
      <c r="L62" s="35">
        <v>6500</v>
      </c>
    </row>
    <row r="63" spans="1:13" x14ac:dyDescent="0.35">
      <c r="A63" s="60">
        <v>6540</v>
      </c>
      <c r="B63" s="60" t="s">
        <v>73</v>
      </c>
      <c r="C63" s="61">
        <v>0</v>
      </c>
      <c r="D63" s="61">
        <v>-1028.4000000000001</v>
      </c>
      <c r="E63" s="61">
        <v>-358</v>
      </c>
      <c r="F63" s="43"/>
      <c r="G63" s="93"/>
      <c r="H63" s="79">
        <f>4906.6</f>
        <v>4906.6000000000004</v>
      </c>
      <c r="I63" s="80"/>
      <c r="J63" s="33">
        <v>7500</v>
      </c>
      <c r="K63" s="34"/>
      <c r="L63" s="35">
        <v>7500</v>
      </c>
      <c r="M63" t="s">
        <v>74</v>
      </c>
    </row>
    <row r="64" spans="1:13" x14ac:dyDescent="0.35">
      <c r="A64" s="60">
        <v>6552</v>
      </c>
      <c r="B64" s="60" t="s">
        <v>75</v>
      </c>
      <c r="C64" s="61">
        <v>-649</v>
      </c>
      <c r="D64" s="61">
        <v>0</v>
      </c>
      <c r="E64" s="61">
        <v>-19173</v>
      </c>
      <c r="F64" s="43"/>
      <c r="G64" s="93">
        <f>-829.3</f>
        <v>-829.3</v>
      </c>
      <c r="H64" s="79"/>
      <c r="I64" s="80"/>
      <c r="J64" s="33"/>
      <c r="K64" s="34"/>
      <c r="L64" s="35"/>
    </row>
    <row r="65" spans="1:13" x14ac:dyDescent="0.35">
      <c r="A65" s="41">
        <v>6553</v>
      </c>
      <c r="B65" s="41" t="s">
        <v>76</v>
      </c>
      <c r="C65" s="42">
        <v>-4526</v>
      </c>
      <c r="D65" s="42">
        <v>-8663</v>
      </c>
      <c r="E65" s="42">
        <v>-8620</v>
      </c>
      <c r="F65" s="43">
        <v>-6400</v>
      </c>
      <c r="G65" s="93">
        <f>-1117</f>
        <v>-1117</v>
      </c>
      <c r="H65" s="79">
        <v>14914.85</v>
      </c>
      <c r="I65" s="80">
        <v>6000</v>
      </c>
      <c r="J65" s="33">
        <v>5000</v>
      </c>
      <c r="K65" s="34"/>
      <c r="L65" s="35">
        <v>5000</v>
      </c>
      <c r="M65" t="s">
        <v>77</v>
      </c>
    </row>
    <row r="66" spans="1:13" x14ac:dyDescent="0.35">
      <c r="A66" s="41">
        <v>6570</v>
      </c>
      <c r="B66" s="41" t="s">
        <v>78</v>
      </c>
      <c r="C66" s="42"/>
      <c r="D66" s="42"/>
      <c r="E66" s="42"/>
      <c r="F66" s="43"/>
      <c r="G66" s="93"/>
      <c r="H66" s="79">
        <v>6689.5</v>
      </c>
      <c r="I66" s="80"/>
      <c r="J66" s="33">
        <v>7000</v>
      </c>
      <c r="K66" s="34"/>
      <c r="L66" s="35">
        <v>7000</v>
      </c>
      <c r="M66" t="s">
        <v>79</v>
      </c>
    </row>
    <row r="67" spans="1:13" x14ac:dyDescent="0.35">
      <c r="A67" s="41">
        <v>6700</v>
      </c>
      <c r="B67" s="41" t="s">
        <v>80</v>
      </c>
      <c r="C67" s="42">
        <v>-40562.5</v>
      </c>
      <c r="D67" s="42">
        <v>-19750</v>
      </c>
      <c r="E67" s="42">
        <v>-25875</v>
      </c>
      <c r="F67" s="43">
        <v>-44906</v>
      </c>
      <c r="G67" s="93">
        <f>-27250</f>
        <v>-27250</v>
      </c>
      <c r="H67" s="79">
        <v>22750</v>
      </c>
      <c r="I67" s="80">
        <v>51000</v>
      </c>
      <c r="J67" s="33">
        <v>25000</v>
      </c>
      <c r="K67" s="34">
        <v>28000</v>
      </c>
      <c r="L67" s="35">
        <v>28000</v>
      </c>
    </row>
    <row r="68" spans="1:13" x14ac:dyDescent="0.35">
      <c r="A68" s="41">
        <v>6700</v>
      </c>
      <c r="B68" s="41" t="s">
        <v>81</v>
      </c>
      <c r="C68" s="42"/>
      <c r="D68" s="42"/>
      <c r="E68" s="42"/>
      <c r="F68" s="43"/>
      <c r="G68" s="93">
        <f>-31063</f>
        <v>-31063</v>
      </c>
      <c r="H68" s="79">
        <v>25250</v>
      </c>
      <c r="I68" s="80"/>
      <c r="J68" s="33">
        <v>26000</v>
      </c>
      <c r="K68" s="34">
        <v>25000</v>
      </c>
      <c r="L68" s="35">
        <v>27000</v>
      </c>
    </row>
    <row r="69" spans="1:13" x14ac:dyDescent="0.35">
      <c r="A69" s="41">
        <v>6795</v>
      </c>
      <c r="B69" s="41" t="s">
        <v>82</v>
      </c>
      <c r="C69" s="42">
        <v>-11775</v>
      </c>
      <c r="D69" s="42">
        <v>0</v>
      </c>
      <c r="E69" s="42">
        <v>-10000</v>
      </c>
      <c r="F69" s="43"/>
      <c r="G69" s="93"/>
      <c r="H69" s="79">
        <v>2662</v>
      </c>
      <c r="I69" s="80"/>
      <c r="J69" s="33">
        <v>3000</v>
      </c>
      <c r="K69" s="34"/>
      <c r="L69" s="35">
        <v>3500</v>
      </c>
    </row>
    <row r="70" spans="1:13" x14ac:dyDescent="0.35">
      <c r="A70" s="41">
        <v>6800</v>
      </c>
      <c r="B70" s="41" t="s">
        <v>83</v>
      </c>
      <c r="C70" s="42">
        <v>-2711.5</v>
      </c>
      <c r="D70" s="42">
        <v>-1188.45</v>
      </c>
      <c r="E70" s="42">
        <v>-8</v>
      </c>
      <c r="F70" s="43">
        <v>-2275</v>
      </c>
      <c r="G70" s="93">
        <f>-3115.1</f>
        <v>-3115.1</v>
      </c>
      <c r="H70" s="79">
        <v>2250</v>
      </c>
      <c r="I70" s="80"/>
      <c r="J70" s="33">
        <v>3000</v>
      </c>
      <c r="K70" s="34">
        <v>3000</v>
      </c>
      <c r="L70" s="35">
        <v>3000</v>
      </c>
    </row>
    <row r="71" spans="1:13" x14ac:dyDescent="0.35">
      <c r="A71" s="41">
        <v>6820</v>
      </c>
      <c r="B71" s="41" t="s">
        <v>84</v>
      </c>
      <c r="C71" s="42">
        <v>-7569.55</v>
      </c>
      <c r="D71" s="42">
        <v>-515.85</v>
      </c>
      <c r="E71" s="42">
        <v>-29528.65</v>
      </c>
      <c r="F71" s="43">
        <v>-328.05</v>
      </c>
      <c r="G71" s="93"/>
      <c r="H71" s="79"/>
      <c r="I71" s="80"/>
      <c r="J71" s="33">
        <v>500</v>
      </c>
      <c r="K71" s="34">
        <v>500</v>
      </c>
      <c r="L71" s="35">
        <v>1000</v>
      </c>
    </row>
    <row r="72" spans="1:13" x14ac:dyDescent="0.35">
      <c r="A72" s="60">
        <v>6821</v>
      </c>
      <c r="B72" s="60" t="s">
        <v>85</v>
      </c>
      <c r="C72" s="61">
        <v>0</v>
      </c>
      <c r="D72" s="61">
        <v>0</v>
      </c>
      <c r="E72" s="61">
        <v>0</v>
      </c>
      <c r="F72" s="43"/>
      <c r="G72" s="93"/>
      <c r="H72" s="79"/>
      <c r="I72" s="80"/>
      <c r="J72" s="33"/>
      <c r="K72" s="34"/>
      <c r="L72" s="35"/>
    </row>
    <row r="73" spans="1:13" x14ac:dyDescent="0.35">
      <c r="A73" s="60">
        <v>6825</v>
      </c>
      <c r="B73" s="60" t="s">
        <v>86</v>
      </c>
      <c r="C73" s="61">
        <v>0</v>
      </c>
      <c r="D73" s="61">
        <v>0</v>
      </c>
      <c r="E73" s="61">
        <v>0</v>
      </c>
      <c r="F73" s="43"/>
      <c r="G73" s="93"/>
      <c r="H73" s="79"/>
      <c r="I73" s="80"/>
      <c r="J73" s="33"/>
      <c r="K73" s="34"/>
      <c r="L73" s="35"/>
    </row>
    <row r="74" spans="1:13" x14ac:dyDescent="0.35">
      <c r="A74" s="60">
        <v>6840</v>
      </c>
      <c r="B74" s="60" t="s">
        <v>87</v>
      </c>
      <c r="C74" s="61">
        <v>-1700</v>
      </c>
      <c r="D74" s="61">
        <v>-1700</v>
      </c>
      <c r="E74" s="61">
        <v>-1900</v>
      </c>
      <c r="F74" s="43"/>
      <c r="G74" s="93"/>
      <c r="H74" s="79"/>
      <c r="I74" s="80"/>
      <c r="J74" s="94">
        <v>2900</v>
      </c>
      <c r="K74" s="95">
        <v>2900</v>
      </c>
      <c r="L74" s="96">
        <v>2900</v>
      </c>
    </row>
    <row r="75" spans="1:13" x14ac:dyDescent="0.35">
      <c r="A75" s="60">
        <v>6860</v>
      </c>
      <c r="B75" s="60" t="s">
        <v>88</v>
      </c>
      <c r="C75" s="61">
        <v>0</v>
      </c>
      <c r="D75" s="61">
        <v>0</v>
      </c>
      <c r="E75" s="61">
        <v>-4833.3599999999997</v>
      </c>
      <c r="F75" s="43"/>
      <c r="G75" s="93">
        <f>-3000</f>
        <v>-3000</v>
      </c>
      <c r="H75" s="79">
        <v>13800</v>
      </c>
      <c r="I75" s="80"/>
      <c r="J75" s="94">
        <v>15000</v>
      </c>
      <c r="K75" s="95"/>
      <c r="L75" s="96">
        <v>15000</v>
      </c>
      <c r="M75" t="s">
        <v>89</v>
      </c>
    </row>
    <row r="76" spans="1:13" x14ac:dyDescent="0.35">
      <c r="A76" s="60">
        <v>6865</v>
      </c>
      <c r="B76" s="60" t="s">
        <v>32</v>
      </c>
      <c r="C76" s="61">
        <v>-49000</v>
      </c>
      <c r="D76" s="61">
        <v>-9400</v>
      </c>
      <c r="E76" s="61">
        <v>-39250</v>
      </c>
      <c r="F76" s="43">
        <v>-7135</v>
      </c>
      <c r="G76" s="93"/>
      <c r="H76" s="79">
        <v>3855</v>
      </c>
      <c r="I76" s="80">
        <v>10000</v>
      </c>
      <c r="J76" s="94">
        <v>10000</v>
      </c>
      <c r="K76" s="95">
        <v>10000</v>
      </c>
      <c r="L76" s="96">
        <v>10000</v>
      </c>
    </row>
    <row r="77" spans="1:13" x14ac:dyDescent="0.35">
      <c r="A77" s="41">
        <v>6900</v>
      </c>
      <c r="B77" s="41" t="s">
        <v>90</v>
      </c>
      <c r="C77" s="42">
        <v>0</v>
      </c>
      <c r="D77" s="42">
        <v>0</v>
      </c>
      <c r="E77" s="42">
        <v>0</v>
      </c>
      <c r="F77" s="43"/>
      <c r="G77" s="93"/>
      <c r="H77" s="79"/>
      <c r="I77" s="80"/>
      <c r="J77" s="94"/>
      <c r="K77" s="95"/>
      <c r="L77" s="96"/>
    </row>
    <row r="78" spans="1:13" x14ac:dyDescent="0.35">
      <c r="A78" s="41">
        <v>6907</v>
      </c>
      <c r="B78" s="41" t="s">
        <v>91</v>
      </c>
      <c r="C78" s="42"/>
      <c r="D78" s="42"/>
      <c r="E78" s="42"/>
      <c r="F78" s="43"/>
      <c r="G78" s="93"/>
      <c r="H78" s="79">
        <v>27595.84</v>
      </c>
      <c r="I78" s="80"/>
      <c r="J78" s="94"/>
      <c r="K78" s="95"/>
      <c r="L78" s="96">
        <v>12000</v>
      </c>
      <c r="M78" t="s">
        <v>92</v>
      </c>
    </row>
    <row r="79" spans="1:13" x14ac:dyDescent="0.35">
      <c r="A79" s="41">
        <v>6940</v>
      </c>
      <c r="B79" s="41" t="s">
        <v>93</v>
      </c>
      <c r="C79" s="42">
        <v>-5422.24</v>
      </c>
      <c r="D79" s="42">
        <v>-1107.3</v>
      </c>
      <c r="E79" s="42">
        <v>-78</v>
      </c>
      <c r="F79" s="43">
        <v>-262</v>
      </c>
      <c r="G79" s="93">
        <f>-326</f>
        <v>-326</v>
      </c>
      <c r="H79" s="79"/>
      <c r="I79" s="80">
        <v>500</v>
      </c>
      <c r="J79" s="94">
        <v>450</v>
      </c>
      <c r="K79" s="95">
        <v>450</v>
      </c>
      <c r="L79" s="96">
        <v>450</v>
      </c>
    </row>
    <row r="80" spans="1:13" x14ac:dyDescent="0.35">
      <c r="A80" s="41">
        <v>7130</v>
      </c>
      <c r="B80" s="41" t="s">
        <v>94</v>
      </c>
      <c r="C80" s="42"/>
      <c r="D80" s="42"/>
      <c r="E80" s="42"/>
      <c r="F80" s="43"/>
      <c r="G80" s="93">
        <f>-490.64</f>
        <v>-490.64</v>
      </c>
      <c r="H80" s="79"/>
      <c r="I80" s="80"/>
      <c r="J80" s="94"/>
      <c r="K80" s="95"/>
      <c r="L80" s="96"/>
    </row>
    <row r="81" spans="1:13" x14ac:dyDescent="0.35">
      <c r="A81" s="41">
        <v>7140</v>
      </c>
      <c r="B81" s="41" t="s">
        <v>95</v>
      </c>
      <c r="C81" s="42">
        <v>-130707.54</v>
      </c>
      <c r="D81" s="42">
        <v>-57975</v>
      </c>
      <c r="E81" s="42">
        <v>-198581.45</v>
      </c>
      <c r="F81" s="43">
        <v>-27119.25</v>
      </c>
      <c r="G81" s="93">
        <f>-16657.22</f>
        <v>-16657.22</v>
      </c>
      <c r="H81" s="87">
        <v>40961.660000000003</v>
      </c>
      <c r="I81" s="89">
        <v>47000</v>
      </c>
      <c r="J81" s="94">
        <v>45000</v>
      </c>
      <c r="K81" s="95"/>
      <c r="L81" s="96">
        <v>50000</v>
      </c>
    </row>
    <row r="82" spans="1:13" x14ac:dyDescent="0.35">
      <c r="A82" s="41">
        <v>7145</v>
      </c>
      <c r="B82" s="41" t="s">
        <v>96</v>
      </c>
      <c r="C82" s="42">
        <v>-8238</v>
      </c>
      <c r="D82" s="42">
        <v>-2833</v>
      </c>
      <c r="E82" s="42">
        <v>-2435.25</v>
      </c>
      <c r="F82" s="43">
        <v>-38820</v>
      </c>
      <c r="G82" s="93">
        <f>-9088</f>
        <v>-9088</v>
      </c>
      <c r="H82" s="87">
        <v>10519.41</v>
      </c>
      <c r="I82" s="89">
        <v>26000</v>
      </c>
      <c r="J82" s="94">
        <v>15000</v>
      </c>
      <c r="K82" s="95">
        <v>20000</v>
      </c>
      <c r="L82" s="96">
        <v>20000</v>
      </c>
    </row>
    <row r="83" spans="1:13" x14ac:dyDescent="0.35">
      <c r="A83" s="41">
        <v>7150</v>
      </c>
      <c r="B83" s="41" t="s">
        <v>97</v>
      </c>
      <c r="C83" s="42"/>
      <c r="D83" s="42"/>
      <c r="E83" s="42"/>
      <c r="F83" s="43"/>
      <c r="G83" s="93">
        <f>-860</f>
        <v>-860</v>
      </c>
      <c r="H83" s="87"/>
      <c r="I83" s="89"/>
      <c r="J83" s="94"/>
      <c r="K83" s="95"/>
      <c r="L83" s="96"/>
    </row>
    <row r="84" spans="1:13" x14ac:dyDescent="0.35">
      <c r="A84" s="41">
        <v>7199</v>
      </c>
      <c r="B84" s="41" t="s">
        <v>98</v>
      </c>
      <c r="C84" s="42"/>
      <c r="D84" s="42"/>
      <c r="E84" s="42"/>
      <c r="F84" s="43"/>
      <c r="G84" s="93">
        <f>-1424</f>
        <v>-1424</v>
      </c>
      <c r="H84" s="87"/>
      <c r="I84" s="89"/>
      <c r="J84" s="97"/>
      <c r="K84" s="98"/>
      <c r="L84" s="99"/>
    </row>
    <row r="85" spans="1:13" x14ac:dyDescent="0.35">
      <c r="A85" s="41">
        <v>7320</v>
      </c>
      <c r="B85" s="41" t="s">
        <v>99</v>
      </c>
      <c r="C85" s="42">
        <v>-10188</v>
      </c>
      <c r="D85" s="42">
        <v>-4438</v>
      </c>
      <c r="E85" s="42">
        <v>-4438</v>
      </c>
      <c r="F85" s="43"/>
      <c r="G85" s="93">
        <f>-4562.6</f>
        <v>-4562.6000000000004</v>
      </c>
      <c r="H85" s="87">
        <v>13875</v>
      </c>
      <c r="I85" s="89"/>
      <c r="J85" s="94">
        <v>5000</v>
      </c>
      <c r="K85" s="95">
        <v>5000</v>
      </c>
      <c r="L85" s="96">
        <v>15000</v>
      </c>
      <c r="M85" t="s">
        <v>100</v>
      </c>
    </row>
    <row r="86" spans="1:13" x14ac:dyDescent="0.35">
      <c r="A86" s="60">
        <v>7390</v>
      </c>
      <c r="B86" s="60" t="s">
        <v>101</v>
      </c>
      <c r="C86" s="61">
        <v>-39111.46</v>
      </c>
      <c r="D86" s="61">
        <v>-30306.959999999999</v>
      </c>
      <c r="E86" s="61">
        <v>-31844.47</v>
      </c>
      <c r="F86" s="43">
        <v>-46150.499000000003</v>
      </c>
      <c r="G86" s="93">
        <f>-9808.04</f>
        <v>-9808.0400000000009</v>
      </c>
      <c r="H86" s="87">
        <v>57232.23</v>
      </c>
      <c r="I86" s="89">
        <v>125000</v>
      </c>
      <c r="J86" s="94">
        <v>65000</v>
      </c>
      <c r="K86" s="95">
        <v>20000</v>
      </c>
      <c r="L86" s="96">
        <v>75000</v>
      </c>
    </row>
    <row r="87" spans="1:13" x14ac:dyDescent="0.35">
      <c r="A87" s="60">
        <v>7394</v>
      </c>
      <c r="B87" s="60" t="s">
        <v>102</v>
      </c>
      <c r="C87" s="61"/>
      <c r="D87" s="61"/>
      <c r="E87" s="61"/>
      <c r="F87" s="43"/>
      <c r="G87" s="93"/>
      <c r="H87" s="87"/>
      <c r="I87" s="89"/>
      <c r="J87" s="94"/>
      <c r="K87" s="95"/>
      <c r="L87" s="96"/>
    </row>
    <row r="88" spans="1:13" x14ac:dyDescent="0.35">
      <c r="A88" s="60">
        <v>7395</v>
      </c>
      <c r="B88" s="60" t="s">
        <v>103</v>
      </c>
      <c r="C88" s="61">
        <v>-13278.45</v>
      </c>
      <c r="D88" s="61">
        <v>-6287.1</v>
      </c>
      <c r="E88" s="61">
        <v>0</v>
      </c>
      <c r="F88" s="43">
        <v>-3585.57</v>
      </c>
      <c r="G88" s="93">
        <f>-258</f>
        <v>-258</v>
      </c>
      <c r="H88" s="87">
        <v>24782.799999999999</v>
      </c>
      <c r="I88" s="89">
        <v>35000</v>
      </c>
      <c r="J88" s="94">
        <v>25000</v>
      </c>
      <c r="K88" s="95">
        <v>10500</v>
      </c>
      <c r="L88" s="96">
        <v>25000</v>
      </c>
    </row>
    <row r="89" spans="1:13" x14ac:dyDescent="0.35">
      <c r="A89" s="60">
        <v>7420</v>
      </c>
      <c r="B89" s="60" t="s">
        <v>104</v>
      </c>
      <c r="C89" s="61">
        <v>-3131.8</v>
      </c>
      <c r="D89" s="61">
        <v>-2778.9</v>
      </c>
      <c r="E89" s="61">
        <v>-1128.75</v>
      </c>
      <c r="F89" s="43">
        <v>-2693.25</v>
      </c>
      <c r="G89" s="93">
        <f>-223393.6</f>
        <v>-223393.6</v>
      </c>
      <c r="H89" s="87">
        <v>31913</v>
      </c>
      <c r="I89" s="89">
        <v>7000</v>
      </c>
      <c r="J89" s="94">
        <v>30000</v>
      </c>
      <c r="K89" s="95">
        <v>1500</v>
      </c>
      <c r="L89" s="96">
        <v>30000</v>
      </c>
      <c r="M89" t="s">
        <v>105</v>
      </c>
    </row>
    <row r="90" spans="1:13" x14ac:dyDescent="0.35">
      <c r="A90" s="60">
        <v>7425</v>
      </c>
      <c r="B90" s="60" t="s">
        <v>106</v>
      </c>
      <c r="C90" s="61">
        <v>0</v>
      </c>
      <c r="D90" s="61">
        <v>-1512</v>
      </c>
      <c r="E90" s="61">
        <v>0</v>
      </c>
      <c r="F90" s="43">
        <v>-2235</v>
      </c>
      <c r="G90" s="93"/>
      <c r="H90" s="87"/>
      <c r="I90" s="89">
        <v>6000</v>
      </c>
      <c r="J90" s="94">
        <v>1500</v>
      </c>
      <c r="K90" s="95">
        <v>2500</v>
      </c>
      <c r="L90" s="96">
        <v>2000</v>
      </c>
    </row>
    <row r="91" spans="1:13" x14ac:dyDescent="0.35">
      <c r="A91" s="60">
        <v>7430</v>
      </c>
      <c r="B91" s="60" t="s">
        <v>107</v>
      </c>
      <c r="C91" s="61">
        <v>-101700</v>
      </c>
      <c r="D91" s="61">
        <v>-117400</v>
      </c>
      <c r="E91" s="61">
        <v>-333600</v>
      </c>
      <c r="F91" s="43">
        <v>-104500</v>
      </c>
      <c r="G91" s="93"/>
      <c r="H91" s="87">
        <v>50000</v>
      </c>
      <c r="I91" s="89">
        <v>158000</v>
      </c>
      <c r="J91" s="94">
        <v>0</v>
      </c>
      <c r="K91" s="95">
        <v>40000</v>
      </c>
      <c r="L91" s="96">
        <v>0</v>
      </c>
    </row>
    <row r="92" spans="1:13" x14ac:dyDescent="0.35">
      <c r="A92" s="41">
        <v>7500</v>
      </c>
      <c r="B92" s="41" t="s">
        <v>108</v>
      </c>
      <c r="C92" s="42">
        <v>0</v>
      </c>
      <c r="D92" s="42">
        <v>-780</v>
      </c>
      <c r="E92" s="42">
        <v>-3248</v>
      </c>
      <c r="F92" s="43">
        <v>-3206</v>
      </c>
      <c r="G92" s="93">
        <f>-11789</f>
        <v>-11789</v>
      </c>
      <c r="H92" s="79">
        <v>1340</v>
      </c>
      <c r="I92" s="89">
        <v>3200</v>
      </c>
      <c r="J92" s="94">
        <v>3000</v>
      </c>
      <c r="K92" s="95">
        <v>3234</v>
      </c>
      <c r="L92" s="96">
        <v>3234</v>
      </c>
    </row>
    <row r="93" spans="1:13" x14ac:dyDescent="0.35">
      <c r="A93" s="41">
        <v>7560</v>
      </c>
      <c r="B93" s="100" t="s">
        <v>109</v>
      </c>
      <c r="C93" s="42"/>
      <c r="D93" s="42"/>
      <c r="E93" s="42"/>
      <c r="F93" s="43"/>
      <c r="G93" s="93">
        <f>-970</f>
        <v>-970</v>
      </c>
      <c r="H93" s="79">
        <v>0</v>
      </c>
      <c r="I93" s="89"/>
      <c r="J93" s="94"/>
      <c r="K93" s="95"/>
      <c r="L93" s="96"/>
    </row>
    <row r="94" spans="1:13" x14ac:dyDescent="0.35">
      <c r="A94" s="41">
        <v>7770</v>
      </c>
      <c r="B94" s="41" t="s">
        <v>110</v>
      </c>
      <c r="C94" s="42">
        <v>-4154</v>
      </c>
      <c r="D94" s="42">
        <v>-523.49</v>
      </c>
      <c r="E94" s="42">
        <v>-2546.9299999999998</v>
      </c>
      <c r="F94" s="43">
        <v>-2388.63</v>
      </c>
      <c r="G94" s="93">
        <f>-3651.85</f>
        <v>-3651.85</v>
      </c>
      <c r="H94" s="79">
        <v>3778</v>
      </c>
      <c r="I94" s="89">
        <v>2500</v>
      </c>
      <c r="J94" s="94">
        <v>5000</v>
      </c>
      <c r="K94" s="95">
        <v>2500</v>
      </c>
      <c r="L94" s="96">
        <v>5000</v>
      </c>
    </row>
    <row r="95" spans="1:13" x14ac:dyDescent="0.35">
      <c r="A95" s="41">
        <v>7790</v>
      </c>
      <c r="B95" s="41" t="s">
        <v>111</v>
      </c>
      <c r="C95" s="42">
        <v>-130728.88</v>
      </c>
      <c r="D95" s="42">
        <v>-730.6</v>
      </c>
      <c r="E95" s="42">
        <v>-3440.3</v>
      </c>
      <c r="F95" s="43">
        <v>-765</v>
      </c>
      <c r="G95" s="93">
        <f>-1329.97</f>
        <v>-1329.97</v>
      </c>
      <c r="H95" s="79">
        <v>1883</v>
      </c>
      <c r="I95" s="80"/>
      <c r="J95" s="94">
        <v>5000</v>
      </c>
      <c r="K95" s="95"/>
      <c r="L95" s="96">
        <v>5000</v>
      </c>
    </row>
    <row r="96" spans="1:13" x14ac:dyDescent="0.35">
      <c r="A96" s="41">
        <v>7799</v>
      </c>
      <c r="B96" s="41" t="s">
        <v>102</v>
      </c>
      <c r="C96" s="42">
        <v>0</v>
      </c>
      <c r="D96" s="42">
        <v>0</v>
      </c>
      <c r="E96" s="42">
        <v>0</v>
      </c>
      <c r="F96" s="43"/>
      <c r="G96" s="93">
        <f>-1.78</f>
        <v>-1.78</v>
      </c>
      <c r="H96" s="79">
        <v>4.1399999999999997</v>
      </c>
      <c r="I96" s="80"/>
      <c r="J96" s="94"/>
      <c r="K96" s="95"/>
      <c r="L96" s="96"/>
    </row>
    <row r="97" spans="1:12" x14ac:dyDescent="0.35">
      <c r="A97" s="41">
        <v>7830</v>
      </c>
      <c r="B97" s="41" t="s">
        <v>112</v>
      </c>
      <c r="C97" s="42">
        <v>-1100</v>
      </c>
      <c r="D97" s="42">
        <v>0</v>
      </c>
      <c r="E97" s="42">
        <v>0</v>
      </c>
      <c r="F97" s="43">
        <v>-3900</v>
      </c>
      <c r="G97" s="93"/>
      <c r="H97" s="79"/>
      <c r="I97" s="80"/>
      <c r="J97" s="94"/>
      <c r="K97" s="95"/>
      <c r="L97" s="96"/>
    </row>
    <row r="98" spans="1:12" x14ac:dyDescent="0.35">
      <c r="A98" s="41"/>
      <c r="B98" s="41"/>
      <c r="C98" s="42"/>
      <c r="D98" s="42"/>
      <c r="E98" s="42"/>
      <c r="F98" s="43"/>
      <c r="G98" s="93"/>
      <c r="H98" s="79"/>
      <c r="I98" s="80"/>
      <c r="J98" s="94"/>
      <c r="K98" s="95"/>
      <c r="L98" s="96"/>
    </row>
    <row r="99" spans="1:12" ht="15" thickBot="1" x14ac:dyDescent="0.4">
      <c r="A99" s="2"/>
      <c r="B99" s="47" t="s">
        <v>113</v>
      </c>
      <c r="C99" s="48">
        <v>-676383.92</v>
      </c>
      <c r="D99" s="48">
        <v>-322890.04999999993</v>
      </c>
      <c r="E99" s="48">
        <v>-806339.16</v>
      </c>
      <c r="F99" s="49">
        <f>SUM(F58:F98)</f>
        <v>-351624.24900000001</v>
      </c>
      <c r="G99" s="101">
        <f>SUM(G58:G98)</f>
        <v>-414413.6</v>
      </c>
      <c r="H99" s="102">
        <f>SUM(H58:H98)</f>
        <v>521074.53</v>
      </c>
      <c r="I99" s="82">
        <f>SUM(I58:I98)</f>
        <v>533200</v>
      </c>
      <c r="J99" s="52">
        <f>SUM(J58:J97)</f>
        <v>468950</v>
      </c>
      <c r="K99" s="52">
        <f>SUM(K58:K97)</f>
        <v>235084</v>
      </c>
      <c r="L99" s="74">
        <f>SUM(L58:L97)</f>
        <v>437084</v>
      </c>
    </row>
    <row r="100" spans="1:12" x14ac:dyDescent="0.35">
      <c r="A100" s="2"/>
      <c r="B100" s="2"/>
      <c r="C100" s="3"/>
      <c r="D100" s="3"/>
      <c r="E100" s="3"/>
      <c r="F100" s="55"/>
      <c r="G100" s="4"/>
      <c r="H100" s="85"/>
      <c r="I100" s="86"/>
      <c r="J100" s="103"/>
      <c r="K100" s="104"/>
      <c r="L100" s="105"/>
    </row>
    <row r="101" spans="1:12" x14ac:dyDescent="0.35">
      <c r="A101" s="41"/>
      <c r="B101" s="106" t="s">
        <v>114</v>
      </c>
      <c r="C101" s="69">
        <v>-1117728.94</v>
      </c>
      <c r="D101" s="69">
        <v>-551101.85</v>
      </c>
      <c r="E101" s="69">
        <v>-1238583.1099999999</v>
      </c>
      <c r="F101" s="70">
        <f>F99+F55+F51+F37</f>
        <v>-793014.89899999998</v>
      </c>
      <c r="G101" s="71">
        <f>G99+G55+G51+G37</f>
        <v>-718664.0199999999</v>
      </c>
      <c r="H101" s="107">
        <f>H99+H55+H51+H37</f>
        <v>931042.29</v>
      </c>
      <c r="I101" s="108">
        <f>I99+I51+I37</f>
        <v>866200</v>
      </c>
      <c r="J101" s="109">
        <f>J99+J51+J37</f>
        <v>906450</v>
      </c>
      <c r="K101" s="110">
        <f>K99+K51+K37</f>
        <v>552084</v>
      </c>
      <c r="L101" s="111">
        <f>L99+L51+L37</f>
        <v>871584</v>
      </c>
    </row>
    <row r="102" spans="1:12" x14ac:dyDescent="0.35">
      <c r="A102" s="2"/>
      <c r="B102" s="2"/>
      <c r="C102" s="3"/>
      <c r="D102" s="3"/>
      <c r="E102" s="3"/>
      <c r="F102" s="55"/>
      <c r="G102" s="4"/>
      <c r="H102" s="85"/>
      <c r="I102" s="86"/>
      <c r="J102" s="103"/>
      <c r="K102" s="110"/>
      <c r="L102" s="111"/>
    </row>
    <row r="103" spans="1:12" ht="15.5" x14ac:dyDescent="0.35">
      <c r="A103" s="60"/>
      <c r="B103" s="112" t="s">
        <v>115</v>
      </c>
      <c r="C103" s="113">
        <v>-309960.2</v>
      </c>
      <c r="D103" s="113">
        <v>-34961.199999999953</v>
      </c>
      <c r="E103" s="113">
        <v>-139278.24999999997</v>
      </c>
      <c r="F103" s="114">
        <f>F101+F31</f>
        <v>-82414.148999999976</v>
      </c>
      <c r="G103" s="115">
        <f>G31+G101</f>
        <v>42085.750000000116</v>
      </c>
      <c r="H103" s="116">
        <f>H31-H101</f>
        <v>-165779.29000000004</v>
      </c>
      <c r="I103" s="117">
        <f>I31-I101</f>
        <v>14000</v>
      </c>
      <c r="J103" s="118">
        <f>J31-J101</f>
        <v>76870</v>
      </c>
      <c r="K103" s="119">
        <f>K31-K101</f>
        <v>-23084</v>
      </c>
      <c r="L103" s="120">
        <f>L31-L101</f>
        <v>138416</v>
      </c>
    </row>
    <row r="104" spans="1:12" x14ac:dyDescent="0.35">
      <c r="A104" s="2"/>
      <c r="B104" s="2"/>
      <c r="C104" s="3"/>
      <c r="D104" s="3"/>
      <c r="E104" s="3"/>
      <c r="F104" s="55"/>
      <c r="G104" s="4"/>
      <c r="H104" s="85"/>
      <c r="I104" s="86"/>
      <c r="J104" s="121"/>
      <c r="K104" s="121"/>
      <c r="L104" s="121"/>
    </row>
    <row r="105" spans="1:12" x14ac:dyDescent="0.35">
      <c r="A105" s="2"/>
      <c r="B105" s="36" t="s">
        <v>116</v>
      </c>
      <c r="C105" s="37"/>
      <c r="D105" s="3"/>
      <c r="E105" s="37"/>
      <c r="F105" s="38"/>
      <c r="G105" s="39"/>
      <c r="H105" s="77"/>
      <c r="I105" s="78"/>
      <c r="J105" s="121"/>
      <c r="K105" s="121"/>
      <c r="L105" s="121"/>
    </row>
    <row r="106" spans="1:12" x14ac:dyDescent="0.35">
      <c r="A106" s="41">
        <v>8050</v>
      </c>
      <c r="B106" s="41" t="s">
        <v>117</v>
      </c>
      <c r="C106" s="42">
        <v>6026</v>
      </c>
      <c r="D106" s="42">
        <v>6078</v>
      </c>
      <c r="E106" s="42">
        <v>4135.3100000000004</v>
      </c>
      <c r="F106" s="43">
        <v>1347.82</v>
      </c>
      <c r="G106" s="44">
        <v>387.36</v>
      </c>
      <c r="H106" s="79">
        <v>1819.79</v>
      </c>
      <c r="I106" s="80">
        <v>1300</v>
      </c>
      <c r="J106" s="121"/>
      <c r="K106" s="121"/>
      <c r="L106" s="121"/>
    </row>
    <row r="107" spans="1:12" x14ac:dyDescent="0.35">
      <c r="A107" s="41">
        <v>8070</v>
      </c>
      <c r="B107" s="41" t="s">
        <v>118</v>
      </c>
      <c r="C107" s="42">
        <v>0</v>
      </c>
      <c r="D107" s="42">
        <v>0</v>
      </c>
      <c r="E107" s="42">
        <v>0</v>
      </c>
      <c r="F107" s="43"/>
      <c r="G107" s="44"/>
      <c r="H107" s="79"/>
      <c r="I107" s="80"/>
      <c r="J107" s="121"/>
      <c r="K107" s="121"/>
      <c r="L107" s="121"/>
    </row>
    <row r="108" spans="1:12" x14ac:dyDescent="0.35">
      <c r="A108" s="41">
        <v>8150</v>
      </c>
      <c r="B108" s="41" t="s">
        <v>119</v>
      </c>
      <c r="C108" s="42">
        <v>0</v>
      </c>
      <c r="D108" s="42">
        <v>0</v>
      </c>
      <c r="E108" s="42">
        <v>-220.94</v>
      </c>
      <c r="F108" s="43">
        <v>-225.89</v>
      </c>
      <c r="G108" s="44">
        <v>327</v>
      </c>
      <c r="H108" s="79">
        <v>-460.5</v>
      </c>
      <c r="I108" s="80"/>
      <c r="J108" s="121"/>
      <c r="K108" s="121"/>
      <c r="L108" s="121"/>
    </row>
    <row r="109" spans="1:12" x14ac:dyDescent="0.35">
      <c r="A109" s="41">
        <v>8170</v>
      </c>
      <c r="B109" s="41" t="s">
        <v>120</v>
      </c>
      <c r="C109" s="42">
        <v>0</v>
      </c>
      <c r="D109" s="42">
        <v>0</v>
      </c>
      <c r="E109" s="42">
        <v>0</v>
      </c>
      <c r="F109" s="43"/>
      <c r="G109" s="44">
        <v>-1915.29</v>
      </c>
      <c r="H109" s="79"/>
      <c r="I109" s="80"/>
      <c r="J109" s="121"/>
      <c r="K109" s="121"/>
      <c r="L109" s="121"/>
    </row>
    <row r="110" spans="1:12" ht="15" thickBot="1" x14ac:dyDescent="0.4">
      <c r="A110" s="2"/>
      <c r="B110" s="47" t="s">
        <v>121</v>
      </c>
      <c r="C110" s="48">
        <v>6026</v>
      </c>
      <c r="D110" s="48">
        <v>6078</v>
      </c>
      <c r="E110" s="48">
        <v>3914.3700000000003</v>
      </c>
      <c r="F110" s="49">
        <f>SUM(F106:F109)</f>
        <v>1121.9299999999998</v>
      </c>
      <c r="G110" s="50">
        <f>SUM(G106:G109)</f>
        <v>-1200.9299999999998</v>
      </c>
      <c r="H110" s="81">
        <f>SUM(H106:H109)</f>
        <v>1359.29</v>
      </c>
      <c r="I110" s="82">
        <v>1300</v>
      </c>
      <c r="J110" s="121"/>
      <c r="K110" s="121"/>
      <c r="L110" s="121"/>
    </row>
    <row r="111" spans="1:12" x14ac:dyDescent="0.35">
      <c r="A111" s="2"/>
      <c r="B111" s="2"/>
      <c r="C111" s="3"/>
      <c r="D111" s="3"/>
      <c r="E111" s="3"/>
      <c r="F111" s="55"/>
      <c r="G111" s="4"/>
      <c r="H111" s="85"/>
      <c r="I111" s="86"/>
      <c r="J111" s="121"/>
      <c r="K111" s="121"/>
      <c r="L111" s="121"/>
    </row>
    <row r="112" spans="1:12" ht="15.5" x14ac:dyDescent="0.35">
      <c r="A112" s="60"/>
      <c r="B112" s="112" t="s">
        <v>122</v>
      </c>
      <c r="C112" s="113">
        <v>-303934.2</v>
      </c>
      <c r="D112" s="113">
        <v>-28883.199999999953</v>
      </c>
      <c r="E112" s="113">
        <v>-135363.87999999998</v>
      </c>
      <c r="F112" s="114">
        <f>F110+F103</f>
        <v>-81292.218999999983</v>
      </c>
      <c r="G112" s="115">
        <f>G110+G103</f>
        <v>40884.820000000116</v>
      </c>
      <c r="H112" s="116">
        <f>H103+H110</f>
        <v>-164420.00000000003</v>
      </c>
      <c r="I112" s="117">
        <f>I110+I103</f>
        <v>15300</v>
      </c>
      <c r="J112" s="121"/>
      <c r="K112" s="121"/>
      <c r="L112" s="121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Ovesen</dc:creator>
  <cp:lastModifiedBy>Hilde Ovesen</cp:lastModifiedBy>
  <dcterms:created xsi:type="dcterms:W3CDTF">2023-04-27T11:59:18Z</dcterms:created>
  <dcterms:modified xsi:type="dcterms:W3CDTF">2023-04-27T12:00:56Z</dcterms:modified>
</cp:coreProperties>
</file>